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Prefeitura de Corguinho\Posto de Saúde\Asentamento Torre de Pedra\Doc Prefeitura\"/>
    </mc:Choice>
  </mc:AlternateContent>
  <xr:revisionPtr revIDLastSave="0" documentId="13_ncr:1_{D763E440-FC71-48CB-B349-F37F715199E3}" xr6:coauthVersionLast="47" xr6:coauthVersionMax="47" xr10:uidLastSave="{00000000-0000-0000-0000-000000000000}"/>
  <bookViews>
    <workbookView xWindow="-108" yWindow="-108" windowWidth="23256" windowHeight="12576" tabRatio="930" xr2:uid="{00000000-000D-0000-FFFF-FFFF00000000}"/>
  </bookViews>
  <sheets>
    <sheet name="PLANILHA ORÇAMENTÁRIA" sheetId="128" r:id="rId1"/>
    <sheet name="MEMÓRIA DE CÁLCULO" sheetId="132" r:id="rId2"/>
    <sheet name="CRONOGRAMA" sheetId="119" r:id="rId3"/>
    <sheet name="COMPOSIÇÃO" sheetId="130" r:id="rId4"/>
    <sheet name="BDI" sheetId="131" r:id="rId5"/>
  </sheets>
  <definedNames>
    <definedName name="_Fill" localSheetId="0" hidden="1">#REF!</definedName>
    <definedName name="_Fill" hidden="1">#REF!</definedName>
    <definedName name="_xlnm._FilterDatabase" localSheetId="3" hidden="1">COMPOSIÇÃO!$A$1:$E$1771</definedName>
    <definedName name="_xlnm._FilterDatabase" localSheetId="0" hidden="1">'PLANILHA ORÇAMENTÁRIA'!#REF!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CRE" localSheetId="0" hidden="1">#REF!</definedName>
    <definedName name="ACRE" hidden="1">#REF!</definedName>
    <definedName name="ademir" hidden="1">{#N/A,#N/A,FALSE,"Cronograma";#N/A,#N/A,FALSE,"Cronogr. 2"}</definedName>
    <definedName name="_xlnm.Print_Area" localSheetId="3">COMPOSIÇÃO!$A$1:$E$1771</definedName>
    <definedName name="_xlnm.Print_Area" localSheetId="1">'MEMÓRIA DE CÁLCULO'!$A$1:$H$464</definedName>
    <definedName name="_xlnm.Print_Area" localSheetId="0">'PLANILHA ORÇAMENTÁRIA'!$B$1:$J$224</definedName>
    <definedName name="bosta" hidden="1">{#N/A,#N/A,FALSE,"Cronograma";#N/A,#N/A,FALSE,"Cronogr. 2"}</definedName>
    <definedName name="CA´L" hidden="1">{#N/A,#N/A,FALSE,"Cronograma";#N/A,#N/A,FALSE,"Cronogr. 2"}</definedName>
    <definedName name="concorrentes" hidden="1">{#N/A,#N/A,FALSE,"Cronograma";#N/A,#N/A,FALSE,"Cronogr. 2"}</definedName>
    <definedName name="Popular" hidden="1">{#N/A,#N/A,FALSE,"Cronograma";#N/A,#N/A,FALSE,"Cronogr. 2"}</definedName>
    <definedName name="rio" hidden="1">{#N/A,#N/A,FALSE,"Cronograma";#N/A,#N/A,FALSE,"Cronogr. 2"}</definedName>
    <definedName name="SINAPI_AC" localSheetId="0" hidden="1">#REF!</definedName>
    <definedName name="SINAPI_AC" hidden="1">#REF!</definedName>
    <definedName name="ss" hidden="1">{#N/A,#N/A,FALSE,"Cronograma";#N/A,#N/A,FALSE,"Cronogr. 2"}</definedName>
    <definedName name="_xlnm.Print_Titles" localSheetId="3">COMPOSIÇÃO!$1:$6</definedName>
    <definedName name="_xlnm.Print_Titles" localSheetId="1">'MEMÓRIA DE CÁLCULO'!$1:$1</definedName>
    <definedName name="_xlnm.Print_Titles" localSheetId="0">'PLANILHA ORÇAMENTÁRIA'!$1:$12</definedName>
    <definedName name="wrn.Cronograma." hidden="1">{#N/A,#N/A,FALSE,"Cronograma";#N/A,#N/A,FALSE,"Cronogr. 2"}</definedName>
    <definedName name="wrn.GERAL." hidden="1">{#N/A,#N/A,FALSE,"ET-CAPA";#N/A,#N/A,FALSE,"ET-PAG1";#N/A,#N/A,FALSE,"ET-PAG2";#N/A,#N/A,FALSE,"ET-PAG3";#N/A,#N/A,FALSE,"ET-PAG4";#N/A,#N/A,FALSE,"ET-PAG5"}</definedName>
    <definedName name="wrn.PENDENCIAS." hidden="1">{#N/A,#N/A,FALSE,"GERAL";#N/A,#N/A,FALSE,"012-96";#N/A,#N/A,FALSE,"018-96";#N/A,#N/A,FALSE,"027-96";#N/A,#N/A,FALSE,"059-96";#N/A,#N/A,FALSE,"076-96";#N/A,#N/A,FALSE,"019-97";#N/A,#N/A,FALSE,"021-97";#N/A,#N/A,FALSE,"022-97";#N/A,#N/A,FALSE,"028-97"}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12" i="128" l="1"/>
  <c r="I19" i="128"/>
  <c r="I18" i="128"/>
  <c r="I17" i="128"/>
  <c r="I16" i="128"/>
  <c r="G210" i="128"/>
  <c r="I209" i="128"/>
  <c r="J209" i="128" s="1"/>
  <c r="I208" i="128"/>
  <c r="J208" i="128" s="1"/>
  <c r="I207" i="128"/>
  <c r="J207" i="128" s="1"/>
  <c r="I187" i="128"/>
  <c r="J187" i="128" s="1"/>
  <c r="I160" i="128"/>
  <c r="I159" i="128"/>
  <c r="G163" i="128"/>
  <c r="G159" i="128" s="1"/>
  <c r="G160" i="128" s="1"/>
  <c r="I147" i="128"/>
  <c r="J147" i="128" s="1"/>
  <c r="G135" i="128"/>
  <c r="G134" i="128"/>
  <c r="C429" i="132"/>
  <c r="C458" i="132"/>
  <c r="B453" i="132"/>
  <c r="B455" i="132" s="1"/>
  <c r="C452" i="132"/>
  <c r="B452" i="132"/>
  <c r="A452" i="132"/>
  <c r="B450" i="132"/>
  <c r="G127" i="128" s="1"/>
  <c r="C438" i="132"/>
  <c r="B438" i="132"/>
  <c r="A438" i="132"/>
  <c r="I128" i="128"/>
  <c r="H129" i="128"/>
  <c r="I125" i="128"/>
  <c r="C457" i="132"/>
  <c r="B457" i="132"/>
  <c r="A457" i="132"/>
  <c r="C446" i="132"/>
  <c r="B446" i="132"/>
  <c r="A446" i="132"/>
  <c r="C443" i="132"/>
  <c r="B443" i="132"/>
  <c r="A443" i="132"/>
  <c r="C388" i="132"/>
  <c r="G112" i="128" s="1"/>
  <c r="C376" i="132"/>
  <c r="B376" i="132"/>
  <c r="A376" i="132"/>
  <c r="C435" i="132"/>
  <c r="C433" i="132"/>
  <c r="C432" i="132"/>
  <c r="B432" i="132"/>
  <c r="A432" i="132"/>
  <c r="C402" i="132"/>
  <c r="G117" i="128" s="1"/>
  <c r="C416" i="132"/>
  <c r="C428" i="132"/>
  <c r="C421" i="132"/>
  <c r="C424" i="132"/>
  <c r="C423" i="132"/>
  <c r="C369" i="132"/>
  <c r="C370" i="132"/>
  <c r="C371" i="132"/>
  <c r="C372" i="132"/>
  <c r="C373" i="132"/>
  <c r="C418" i="132"/>
  <c r="B418" i="132"/>
  <c r="A418" i="132"/>
  <c r="C404" i="132"/>
  <c r="B404" i="132"/>
  <c r="A404" i="132"/>
  <c r="C390" i="132"/>
  <c r="B390" i="132"/>
  <c r="A390" i="132"/>
  <c r="C362" i="132"/>
  <c r="C363" i="132" s="1"/>
  <c r="C356" i="132"/>
  <c r="C358" i="132" s="1"/>
  <c r="C349" i="132"/>
  <c r="C350" i="132" s="1"/>
  <c r="C343" i="132"/>
  <c r="C345" i="132" s="1"/>
  <c r="C355" i="132"/>
  <c r="B355" i="132"/>
  <c r="A355" i="132"/>
  <c r="C368" i="132"/>
  <c r="B368" i="132"/>
  <c r="A368" i="132"/>
  <c r="C342" i="132"/>
  <c r="B342" i="132"/>
  <c r="A342" i="132"/>
  <c r="C338" i="132"/>
  <c r="C332" i="132"/>
  <c r="C328" i="132"/>
  <c r="B328" i="132"/>
  <c r="A328" i="132"/>
  <c r="G99" i="128"/>
  <c r="C325" i="132"/>
  <c r="C322" i="132"/>
  <c r="C319" i="132"/>
  <c r="B325" i="132"/>
  <c r="B322" i="132"/>
  <c r="B319" i="132"/>
  <c r="A325" i="132"/>
  <c r="A322" i="132"/>
  <c r="A319" i="132"/>
  <c r="C316" i="132"/>
  <c r="B316" i="132"/>
  <c r="A316" i="132"/>
  <c r="G94" i="128"/>
  <c r="B312" i="132"/>
  <c r="B307" i="132"/>
  <c r="C303" i="132"/>
  <c r="A303" i="132"/>
  <c r="G88" i="128"/>
  <c r="G87" i="128"/>
  <c r="B303" i="132"/>
  <c r="C300" i="132"/>
  <c r="B300" i="132"/>
  <c r="A300" i="132"/>
  <c r="C297" i="132"/>
  <c r="B297" i="132"/>
  <c r="A297" i="132"/>
  <c r="C289" i="132"/>
  <c r="C290" i="132" s="1"/>
  <c r="C283" i="132"/>
  <c r="C285" i="132" s="1"/>
  <c r="E279" i="132"/>
  <c r="G75" i="128" s="1"/>
  <c r="E278" i="132"/>
  <c r="G76" i="128" s="1"/>
  <c r="E276" i="132"/>
  <c r="E277" i="132"/>
  <c r="I75" i="128"/>
  <c r="I74" i="128"/>
  <c r="C270" i="132"/>
  <c r="G71" i="128" s="1"/>
  <c r="G72" i="128" s="1"/>
  <c r="C262" i="132"/>
  <c r="C264" i="132" s="1"/>
  <c r="C253" i="132"/>
  <c r="C255" i="132" s="1"/>
  <c r="C247" i="132"/>
  <c r="C249" i="132" s="1"/>
  <c r="C243" i="132"/>
  <c r="G67" i="128" s="1"/>
  <c r="C234" i="132"/>
  <c r="G64" i="128" s="1"/>
  <c r="G65" i="128" s="1"/>
  <c r="C224" i="132"/>
  <c r="C225" i="132" s="1"/>
  <c r="C227" i="132" s="1"/>
  <c r="G63" i="128" s="1"/>
  <c r="C216" i="132"/>
  <c r="C217" i="132" s="1"/>
  <c r="C219" i="132" s="1"/>
  <c r="C211" i="132"/>
  <c r="G61" i="128" s="1"/>
  <c r="C134" i="132"/>
  <c r="C136" i="132" s="1"/>
  <c r="C138" i="132" s="1"/>
  <c r="C201" i="132"/>
  <c r="G55" i="128" s="1"/>
  <c r="G56" i="128" s="1"/>
  <c r="C191" i="132"/>
  <c r="C193" i="132" s="1"/>
  <c r="C195" i="132" s="1"/>
  <c r="C184" i="132"/>
  <c r="C186" i="132" s="1"/>
  <c r="C188" i="132" s="1"/>
  <c r="C179" i="132"/>
  <c r="C181" i="132" s="1"/>
  <c r="C174" i="132"/>
  <c r="G51" i="128" s="1"/>
  <c r="C168" i="132"/>
  <c r="G50" i="128" s="1"/>
  <c r="C159" i="132"/>
  <c r="G47" i="128" s="1"/>
  <c r="G48" i="128" s="1"/>
  <c r="C152" i="132"/>
  <c r="G46" i="128" s="1"/>
  <c r="C145" i="132"/>
  <c r="G45" i="128" s="1"/>
  <c r="C127" i="132"/>
  <c r="C128" i="132" s="1"/>
  <c r="C130" i="132" s="1"/>
  <c r="C122" i="132"/>
  <c r="G42" i="128" s="1"/>
  <c r="C94" i="132"/>
  <c r="C108" i="132"/>
  <c r="C82" i="132"/>
  <c r="G128" i="128" l="1"/>
  <c r="G129" i="128" s="1"/>
  <c r="B458" i="132"/>
  <c r="J128" i="128"/>
  <c r="J112" i="128"/>
  <c r="J160" i="128"/>
  <c r="J159" i="128"/>
  <c r="C436" i="132"/>
  <c r="G121" i="128" s="1"/>
  <c r="C430" i="132"/>
  <c r="G119" i="128" s="1"/>
  <c r="G118" i="128"/>
  <c r="C374" i="132"/>
  <c r="C365" i="132"/>
  <c r="C366" i="132" s="1"/>
  <c r="C352" i="132"/>
  <c r="C353" i="132" s="1"/>
  <c r="C340" i="132"/>
  <c r="G105" i="128" s="1"/>
  <c r="B314" i="132"/>
  <c r="G92" i="128" s="1"/>
  <c r="C292" i="132"/>
  <c r="G81" i="128" s="1"/>
  <c r="G82" i="128"/>
  <c r="G277" i="132"/>
  <c r="G74" i="128" s="1"/>
  <c r="J74" i="128" s="1"/>
  <c r="J75" i="128"/>
  <c r="G68" i="128"/>
  <c r="G70" i="128"/>
  <c r="G69" i="128"/>
  <c r="G54" i="128"/>
  <c r="G53" i="128"/>
  <c r="G52" i="128"/>
  <c r="G44" i="128"/>
  <c r="G43" i="128"/>
  <c r="G62" i="128"/>
  <c r="C115" i="132"/>
  <c r="G41" i="128" s="1"/>
  <c r="C102" i="132"/>
  <c r="C110" i="132" s="1"/>
  <c r="G36" i="128" s="1"/>
  <c r="C89" i="132"/>
  <c r="C76" i="132"/>
  <c r="N23" i="132"/>
  <c r="C65" i="132"/>
  <c r="G32" i="128" s="1"/>
  <c r="G19" i="128"/>
  <c r="G100" i="128" s="1"/>
  <c r="C21" i="132"/>
  <c r="C22" i="132"/>
  <c r="C18" i="132"/>
  <c r="G17" i="128" s="1"/>
  <c r="C12" i="132"/>
  <c r="G16" i="128" s="1"/>
  <c r="C6" i="132"/>
  <c r="G15" i="128" s="1"/>
  <c r="B294" i="132"/>
  <c r="B282" i="132"/>
  <c r="B275" i="132"/>
  <c r="B272" i="132"/>
  <c r="B266" i="132"/>
  <c r="B259" i="132"/>
  <c r="B251" i="132"/>
  <c r="B245" i="132"/>
  <c r="B239" i="132"/>
  <c r="B236" i="132"/>
  <c r="B229" i="132"/>
  <c r="B222" i="132"/>
  <c r="B214" i="132"/>
  <c r="B206" i="132"/>
  <c r="B203" i="132"/>
  <c r="B197" i="132"/>
  <c r="B190" i="132"/>
  <c r="B183" i="132"/>
  <c r="B176" i="132"/>
  <c r="B170" i="132"/>
  <c r="B164" i="132"/>
  <c r="B161" i="132"/>
  <c r="B154" i="132"/>
  <c r="B147" i="132"/>
  <c r="B140" i="132"/>
  <c r="B132" i="132"/>
  <c r="B124" i="132"/>
  <c r="B117" i="132"/>
  <c r="B112" i="132"/>
  <c r="B98" i="132"/>
  <c r="B86" i="132"/>
  <c r="B72" i="132"/>
  <c r="B67" i="132"/>
  <c r="B62" i="132"/>
  <c r="B61" i="132"/>
  <c r="B58" i="132"/>
  <c r="B57" i="132"/>
  <c r="B52" i="132"/>
  <c r="B46" i="132"/>
  <c r="B40" i="132"/>
  <c r="B34" i="132"/>
  <c r="B28" i="132"/>
  <c r="B25" i="132"/>
  <c r="B20" i="132"/>
  <c r="B14" i="132"/>
  <c r="B8" i="132"/>
  <c r="B3" i="132"/>
  <c r="C294" i="132"/>
  <c r="D282" i="132"/>
  <c r="D275" i="132"/>
  <c r="D272" i="132"/>
  <c r="D266" i="132"/>
  <c r="D259" i="132"/>
  <c r="D251" i="132"/>
  <c r="D245" i="132"/>
  <c r="D239" i="132"/>
  <c r="D236" i="132"/>
  <c r="D229" i="132"/>
  <c r="D222" i="132"/>
  <c r="D214" i="132"/>
  <c r="D206" i="132"/>
  <c r="D203" i="132"/>
  <c r="D197" i="132"/>
  <c r="D190" i="132"/>
  <c r="D183" i="132"/>
  <c r="D176" i="132"/>
  <c r="D170" i="132"/>
  <c r="D164" i="132"/>
  <c r="D161" i="132"/>
  <c r="D154" i="132"/>
  <c r="D147" i="132"/>
  <c r="D140" i="132"/>
  <c r="D132" i="132"/>
  <c r="D124" i="132"/>
  <c r="D117" i="132"/>
  <c r="D112" i="132"/>
  <c r="D98" i="132"/>
  <c r="D86" i="132"/>
  <c r="D72" i="132"/>
  <c r="D67" i="132"/>
  <c r="D62" i="132"/>
  <c r="D61" i="132"/>
  <c r="D58" i="132"/>
  <c r="D57" i="132"/>
  <c r="D52" i="132"/>
  <c r="D46" i="132"/>
  <c r="D40" i="132"/>
  <c r="D34" i="132"/>
  <c r="D28" i="132"/>
  <c r="D25" i="132"/>
  <c r="D20" i="132"/>
  <c r="D14" i="132"/>
  <c r="D8" i="132"/>
  <c r="D3" i="132"/>
  <c r="C282" i="132"/>
  <c r="C275" i="132"/>
  <c r="C272" i="132"/>
  <c r="C266" i="132"/>
  <c r="C259" i="132"/>
  <c r="C251" i="132"/>
  <c r="C245" i="132"/>
  <c r="C239" i="132"/>
  <c r="C236" i="132"/>
  <c r="C229" i="132"/>
  <c r="C222" i="132"/>
  <c r="C214" i="132"/>
  <c r="C206" i="132"/>
  <c r="C203" i="132"/>
  <c r="C197" i="132"/>
  <c r="C190" i="132"/>
  <c r="C183" i="132"/>
  <c r="C176" i="132"/>
  <c r="C170" i="132"/>
  <c r="C164" i="132"/>
  <c r="C161" i="132"/>
  <c r="C154" i="132"/>
  <c r="C147" i="132"/>
  <c r="C140" i="132"/>
  <c r="C132" i="132"/>
  <c r="C124" i="132"/>
  <c r="C117" i="132"/>
  <c r="C112" i="132"/>
  <c r="C98" i="132"/>
  <c r="C86" i="132"/>
  <c r="C72" i="132"/>
  <c r="C67" i="132"/>
  <c r="C62" i="132"/>
  <c r="C61" i="132"/>
  <c r="C58" i="132"/>
  <c r="C57" i="132"/>
  <c r="C52" i="132"/>
  <c r="C46" i="132"/>
  <c r="C40" i="132"/>
  <c r="C34" i="132"/>
  <c r="C28" i="132"/>
  <c r="C25" i="132"/>
  <c r="C20" i="132"/>
  <c r="C14" i="132"/>
  <c r="C8" i="132"/>
  <c r="C3" i="132"/>
  <c r="A294" i="132"/>
  <c r="A282" i="132"/>
  <c r="A275" i="132"/>
  <c r="A272" i="132"/>
  <c r="A266" i="132"/>
  <c r="A259" i="132"/>
  <c r="A251" i="132"/>
  <c r="A245" i="132"/>
  <c r="A239" i="132"/>
  <c r="A236" i="132"/>
  <c r="A229" i="132"/>
  <c r="A222" i="132"/>
  <c r="A214" i="132"/>
  <c r="A206" i="132"/>
  <c r="A203" i="132"/>
  <c r="A197" i="132"/>
  <c r="A190" i="132"/>
  <c r="A183" i="132"/>
  <c r="A176" i="132"/>
  <c r="A170" i="132"/>
  <c r="A164" i="132"/>
  <c r="A161" i="132"/>
  <c r="A154" i="132"/>
  <c r="A147" i="132"/>
  <c r="A140" i="132"/>
  <c r="A132" i="132"/>
  <c r="A124" i="132"/>
  <c r="A117" i="132"/>
  <c r="A112" i="132"/>
  <c r="A98" i="132"/>
  <c r="A86" i="132"/>
  <c r="A72" i="132"/>
  <c r="A67" i="132"/>
  <c r="A62" i="132"/>
  <c r="A61" i="132"/>
  <c r="A58" i="132"/>
  <c r="A57" i="132"/>
  <c r="A52" i="132"/>
  <c r="A46" i="132"/>
  <c r="A40" i="132"/>
  <c r="A34" i="132"/>
  <c r="A28" i="132"/>
  <c r="A25" i="132"/>
  <c r="A20" i="132"/>
  <c r="A14" i="132"/>
  <c r="A8" i="132"/>
  <c r="A3" i="132"/>
  <c r="E16" i="130"/>
  <c r="E17" i="130" s="1"/>
  <c r="E18" i="130" s="1"/>
  <c r="H15" i="128" s="1"/>
  <c r="I15" i="128" s="1"/>
  <c r="E15" i="130"/>
  <c r="E13" i="130"/>
  <c r="E12" i="130"/>
  <c r="E11" i="130"/>
  <c r="E10" i="130"/>
  <c r="E9" i="130"/>
  <c r="E14" i="130" s="1"/>
  <c r="I216" i="128"/>
  <c r="I212" i="128"/>
  <c r="I210" i="128"/>
  <c r="I206" i="128"/>
  <c r="I205" i="128"/>
  <c r="I204" i="128"/>
  <c r="I203" i="128"/>
  <c r="I202" i="128"/>
  <c r="I201" i="128"/>
  <c r="I200" i="128"/>
  <c r="I195" i="128"/>
  <c r="I194" i="128"/>
  <c r="I193" i="128"/>
  <c r="I192" i="128"/>
  <c r="I191" i="128"/>
  <c r="I186" i="128"/>
  <c r="I185" i="128"/>
  <c r="I184" i="128"/>
  <c r="I183" i="128"/>
  <c r="I182" i="128"/>
  <c r="I181" i="128"/>
  <c r="I180" i="128"/>
  <c r="I176" i="128"/>
  <c r="I175" i="128"/>
  <c r="I174" i="128"/>
  <c r="I172" i="128"/>
  <c r="I171" i="128"/>
  <c r="I170" i="128"/>
  <c r="I169" i="128"/>
  <c r="I168" i="128"/>
  <c r="I167" i="128"/>
  <c r="I166" i="128"/>
  <c r="I165" i="128"/>
  <c r="I164" i="128"/>
  <c r="I163" i="128"/>
  <c r="I162" i="128"/>
  <c r="I161" i="128"/>
  <c r="I154" i="128"/>
  <c r="I153" i="128"/>
  <c r="I152" i="128"/>
  <c r="I151" i="128"/>
  <c r="I150" i="128"/>
  <c r="I149" i="128"/>
  <c r="I148" i="128"/>
  <c r="I146" i="128"/>
  <c r="I145" i="128"/>
  <c r="I144" i="128"/>
  <c r="I143" i="128"/>
  <c r="I142" i="128"/>
  <c r="I141" i="128"/>
  <c r="I140" i="128"/>
  <c r="I139" i="128"/>
  <c r="I138" i="128"/>
  <c r="I137" i="128"/>
  <c r="I136" i="128"/>
  <c r="I135" i="128"/>
  <c r="I134" i="128"/>
  <c r="I129" i="128"/>
  <c r="I127" i="128"/>
  <c r="I126" i="128"/>
  <c r="I121" i="128"/>
  <c r="I120" i="128"/>
  <c r="I119" i="128"/>
  <c r="I118" i="128"/>
  <c r="I117" i="128"/>
  <c r="I111" i="128"/>
  <c r="I110" i="128"/>
  <c r="I109" i="128"/>
  <c r="I105" i="128"/>
  <c r="I101" i="128"/>
  <c r="I100" i="128"/>
  <c r="I99" i="128"/>
  <c r="I98" i="128"/>
  <c r="I94" i="128"/>
  <c r="I93" i="128"/>
  <c r="I92" i="128"/>
  <c r="I91" i="128"/>
  <c r="I90" i="128"/>
  <c r="I89" i="128"/>
  <c r="I88" i="128"/>
  <c r="I87" i="128"/>
  <c r="I82" i="128"/>
  <c r="I81" i="128"/>
  <c r="I76" i="128"/>
  <c r="I73" i="128"/>
  <c r="I72" i="128"/>
  <c r="I71" i="128"/>
  <c r="I70" i="128"/>
  <c r="I69" i="128"/>
  <c r="I68" i="128"/>
  <c r="I67" i="128"/>
  <c r="I66" i="128"/>
  <c r="I65" i="128"/>
  <c r="I64" i="128"/>
  <c r="I63" i="128"/>
  <c r="I62" i="128"/>
  <c r="I61" i="128"/>
  <c r="I56" i="128"/>
  <c r="I55" i="128"/>
  <c r="I54" i="128"/>
  <c r="I53" i="128"/>
  <c r="I52" i="128"/>
  <c r="I51" i="128"/>
  <c r="I50" i="128"/>
  <c r="I48" i="128"/>
  <c r="I47" i="128"/>
  <c r="I46" i="128"/>
  <c r="I45" i="128"/>
  <c r="I44" i="128"/>
  <c r="I43" i="128"/>
  <c r="I42" i="128"/>
  <c r="I41" i="128"/>
  <c r="I36" i="128"/>
  <c r="I35" i="128"/>
  <c r="I34" i="128"/>
  <c r="I33" i="128"/>
  <c r="I32" i="128"/>
  <c r="I28" i="128"/>
  <c r="I27" i="128"/>
  <c r="I26" i="128"/>
  <c r="I25" i="128"/>
  <c r="I24" i="128"/>
  <c r="I23" i="128"/>
  <c r="A43" i="131"/>
  <c r="C43" i="131" s="1"/>
  <c r="C42" i="131"/>
  <c r="A37" i="131"/>
  <c r="A38" i="131" s="1"/>
  <c r="C36" i="131"/>
  <c r="I33" i="131"/>
  <c r="M31" i="131"/>
  <c r="M30" i="131"/>
  <c r="L30" i="131"/>
  <c r="A28" i="131"/>
  <c r="A29" i="131" s="1"/>
  <c r="C27" i="131"/>
  <c r="N25" i="131"/>
  <c r="O25" i="131" s="1"/>
  <c r="N24" i="131"/>
  <c r="M22" i="131"/>
  <c r="I22" i="131"/>
  <c r="A22" i="131"/>
  <c r="A23" i="131" s="1"/>
  <c r="M21" i="131"/>
  <c r="I21" i="131"/>
  <c r="C21" i="131"/>
  <c r="M20" i="131"/>
  <c r="I20" i="131"/>
  <c r="M19" i="131"/>
  <c r="I19" i="131"/>
  <c r="M18" i="131"/>
  <c r="I18" i="131"/>
  <c r="A15" i="131"/>
  <c r="C15" i="131" s="1"/>
  <c r="C14" i="131"/>
  <c r="C13" i="131"/>
  <c r="C12" i="131"/>
  <c r="C11" i="131"/>
  <c r="C10" i="131"/>
  <c r="C9" i="131"/>
  <c r="C8" i="131"/>
  <c r="A3" i="131"/>
  <c r="C3" i="131" s="1"/>
  <c r="C2" i="131"/>
  <c r="P18" i="131" l="1"/>
  <c r="C22" i="131"/>
  <c r="G216" i="128"/>
  <c r="G111" i="128"/>
  <c r="C440" i="132"/>
  <c r="G110" i="128"/>
  <c r="C439" i="132"/>
  <c r="C441" i="132" s="1"/>
  <c r="G125" i="128" s="1"/>
  <c r="G109" i="128"/>
  <c r="C96" i="132"/>
  <c r="G35" i="128" s="1"/>
  <c r="C84" i="132"/>
  <c r="G34" i="128" s="1"/>
  <c r="C68" i="132"/>
  <c r="C70" i="132" s="1"/>
  <c r="G33" i="128" s="1"/>
  <c r="C23" i="132"/>
  <c r="G18" i="128" s="1"/>
  <c r="A4" i="131"/>
  <c r="A5" i="131" s="1"/>
  <c r="C5" i="131" s="1"/>
  <c r="R18" i="131"/>
  <c r="Q18" i="131"/>
  <c r="N27" i="131"/>
  <c r="N26" i="131"/>
  <c r="A44" i="131"/>
  <c r="A45" i="131" s="1"/>
  <c r="A39" i="131"/>
  <c r="C38" i="131"/>
  <c r="A6" i="131"/>
  <c r="C23" i="131"/>
  <c r="A24" i="131"/>
  <c r="A32" i="131"/>
  <c r="C29" i="131"/>
  <c r="C45" i="131"/>
  <c r="A46" i="131"/>
  <c r="R19" i="131"/>
  <c r="C37" i="131"/>
  <c r="C4" i="131"/>
  <c r="A17" i="131"/>
  <c r="C28" i="131"/>
  <c r="C44" i="131"/>
  <c r="Q19" i="131"/>
  <c r="P19" i="131"/>
  <c r="R21" i="131" l="1"/>
  <c r="R20" i="131"/>
  <c r="P20" i="131"/>
  <c r="G126" i="128"/>
  <c r="J125" i="128"/>
  <c r="Q20" i="131"/>
  <c r="A47" i="131"/>
  <c r="C47" i="131" s="1"/>
  <c r="C46" i="131"/>
  <c r="C17" i="131"/>
  <c r="A18" i="131"/>
  <c r="A33" i="131"/>
  <c r="C32" i="131"/>
  <c r="Q21" i="131"/>
  <c r="A25" i="131"/>
  <c r="C24" i="131"/>
  <c r="A7" i="131"/>
  <c r="C7" i="131" s="1"/>
  <c r="P26" i="131" s="1"/>
  <c r="C6" i="131"/>
  <c r="A40" i="131"/>
  <c r="C39" i="131"/>
  <c r="P21" i="131"/>
  <c r="R22" i="131" l="1"/>
  <c r="Q26" i="131"/>
  <c r="P22" i="131"/>
  <c r="R26" i="131"/>
  <c r="O26" i="131" s="1"/>
  <c r="O27" i="131" s="1"/>
  <c r="C33" i="131"/>
  <c r="A34" i="131"/>
  <c r="C34" i="131" s="1"/>
  <c r="A41" i="131"/>
  <c r="C41" i="131" s="1"/>
  <c r="C40" i="131"/>
  <c r="A26" i="131"/>
  <c r="C26" i="131" s="1"/>
  <c r="C25" i="131"/>
  <c r="A19" i="131"/>
  <c r="C18" i="131"/>
  <c r="Q22" i="131"/>
  <c r="C19" i="131" l="1"/>
  <c r="A20" i="131"/>
  <c r="C20" i="131" s="1"/>
  <c r="J119" i="128" l="1"/>
  <c r="J129" i="128"/>
  <c r="J212" i="128" l="1"/>
  <c r="J210" i="128"/>
  <c r="J203" i="128"/>
  <c r="J202" i="128"/>
  <c r="J201" i="128"/>
  <c r="J200" i="128"/>
  <c r="J193" i="128"/>
  <c r="J192" i="128"/>
  <c r="J191" i="128"/>
  <c r="J186" i="128"/>
  <c r="J185" i="128"/>
  <c r="J184" i="128"/>
  <c r="J183" i="128"/>
  <c r="J182" i="128"/>
  <c r="J181" i="128"/>
  <c r="J180" i="128"/>
  <c r="J175" i="128"/>
  <c r="J171" i="128"/>
  <c r="J170" i="128"/>
  <c r="J169" i="128"/>
  <c r="J168" i="128"/>
  <c r="J167" i="128"/>
  <c r="J165" i="128"/>
  <c r="J154" i="128"/>
  <c r="J152" i="128"/>
  <c r="J151" i="128"/>
  <c r="J150" i="128"/>
  <c r="J146" i="128"/>
  <c r="J145" i="128"/>
  <c r="J144" i="128"/>
  <c r="J126" i="128"/>
  <c r="J111" i="128"/>
  <c r="J109" i="128"/>
  <c r="J101" i="128"/>
  <c r="J90" i="128"/>
  <c r="J88" i="128"/>
  <c r="J87" i="128"/>
  <c r="J81" i="128"/>
  <c r="J64" i="128"/>
  <c r="J63" i="128"/>
  <c r="J62" i="128"/>
  <c r="J61" i="128"/>
  <c r="J47" i="128"/>
  <c r="J27" i="128"/>
  <c r="J18" i="128"/>
  <c r="J17" i="128"/>
  <c r="J16" i="128"/>
  <c r="J188" i="128" l="1"/>
  <c r="J43" i="128"/>
  <c r="J45" i="128"/>
  <c r="J19" i="128"/>
  <c r="J41" i="128"/>
  <c r="J46" i="128"/>
  <c r="B56" i="119"/>
  <c r="B55" i="119"/>
  <c r="A14" i="119"/>
  <c r="J172" i="128"/>
  <c r="J194" i="128"/>
  <c r="J195" i="128"/>
  <c r="J134" i="128"/>
  <c r="J216" i="128"/>
  <c r="J127" i="128"/>
  <c r="J130" i="128" s="1"/>
  <c r="J121" i="128"/>
  <c r="J98" i="128"/>
  <c r="J205" i="128" l="1"/>
  <c r="J99" i="128"/>
  <c r="J94" i="128"/>
  <c r="J92" i="128"/>
  <c r="J76" i="128"/>
  <c r="J36" i="128"/>
  <c r="J35" i="128"/>
  <c r="J34" i="128"/>
  <c r="W34" i="128"/>
  <c r="J32" i="128"/>
  <c r="J26" i="128"/>
  <c r="J52" i="128" l="1"/>
  <c r="J71" i="128"/>
  <c r="J67" i="128"/>
  <c r="J70" i="128"/>
  <c r="J44" i="128"/>
  <c r="J42" i="128"/>
  <c r="J25" i="128"/>
  <c r="J24" i="128"/>
  <c r="J118" i="128"/>
  <c r="J117" i="128"/>
  <c r="J68" i="128"/>
  <c r="J51" i="128"/>
  <c r="J69" i="128"/>
  <c r="J72" i="128"/>
  <c r="J54" i="128"/>
  <c r="J53" i="128"/>
  <c r="J65" i="128"/>
  <c r="J82" i="128"/>
  <c r="J50" i="128"/>
  <c r="J23" i="128"/>
  <c r="W35" i="128"/>
  <c r="J100" i="128"/>
  <c r="J105" i="128"/>
  <c r="J48" i="128"/>
  <c r="J110" i="128"/>
  <c r="J113" i="128" s="1"/>
  <c r="J33" i="128"/>
  <c r="J56" i="128" l="1"/>
  <c r="J55" i="128"/>
  <c r="J28" i="128"/>
  <c r="X35" i="128"/>
  <c r="J57" i="128" l="1"/>
  <c r="J29" i="128"/>
  <c r="J22" i="128" s="1"/>
  <c r="C14" i="119" s="1"/>
  <c r="E15" i="119" s="1"/>
  <c r="A46" i="119" l="1"/>
  <c r="A44" i="119"/>
  <c r="A42" i="119"/>
  <c r="A40" i="119"/>
  <c r="A38" i="119"/>
  <c r="A36" i="119"/>
  <c r="A34" i="119"/>
  <c r="A32" i="119"/>
  <c r="A30" i="119"/>
  <c r="A28" i="119"/>
  <c r="A26" i="119"/>
  <c r="A24" i="119"/>
  <c r="A22" i="119"/>
  <c r="A20" i="119"/>
  <c r="A18" i="119"/>
  <c r="A16" i="119"/>
  <c r="A12" i="119"/>
  <c r="B5" i="128"/>
  <c r="B8" i="128" l="1"/>
  <c r="B7" i="128"/>
  <c r="J15" i="128"/>
  <c r="J102" i="128" l="1"/>
  <c r="J213" i="128"/>
  <c r="J196" i="128"/>
  <c r="J95" i="128"/>
  <c r="J217" i="128"/>
  <c r="J215" i="128" s="1"/>
  <c r="C46" i="119" s="1"/>
  <c r="G47" i="119" l="1"/>
  <c r="H47" i="119"/>
  <c r="J97" i="128"/>
  <c r="C26" i="119" s="1"/>
  <c r="J83" i="128"/>
  <c r="J79" i="128" s="1"/>
  <c r="C22" i="119" s="1"/>
  <c r="J20" i="128"/>
  <c r="J37" i="128"/>
  <c r="J31" i="128" s="1"/>
  <c r="J39" i="128"/>
  <c r="J190" i="128"/>
  <c r="C42" i="119" s="1"/>
  <c r="J198" i="128"/>
  <c r="C44" i="119" s="1"/>
  <c r="J106" i="128"/>
  <c r="J104" i="128" s="1"/>
  <c r="C28" i="119" s="1"/>
  <c r="J124" i="128"/>
  <c r="C34" i="119" s="1"/>
  <c r="J122" i="128"/>
  <c r="J115" i="128" s="1"/>
  <c r="C32" i="119" s="1"/>
  <c r="J108" i="128"/>
  <c r="C30" i="119" s="1"/>
  <c r="J77" i="128"/>
  <c r="J59" i="128" s="1"/>
  <c r="C20" i="119" s="1"/>
  <c r="J85" i="128"/>
  <c r="C24" i="119" s="1"/>
  <c r="J179" i="128"/>
  <c r="C40" i="119" s="1"/>
  <c r="J14" i="128" l="1"/>
  <c r="C16" i="119"/>
  <c r="E17" i="119" s="1"/>
  <c r="C18" i="119"/>
  <c r="E19" i="119" s="1"/>
  <c r="C12" i="119" l="1"/>
  <c r="E13" i="119" s="1"/>
  <c r="F19" i="119" l="1"/>
  <c r="E29" i="119"/>
  <c r="E49" i="119" s="1"/>
  <c r="F23" i="119" l="1"/>
  <c r="G23" i="119"/>
  <c r="G21" i="119"/>
  <c r="F21" i="119"/>
  <c r="H35" i="119"/>
  <c r="F31" i="119"/>
  <c r="G31" i="119"/>
  <c r="G43" i="119"/>
  <c r="F43" i="119"/>
  <c r="F33" i="119"/>
  <c r="G33" i="119"/>
  <c r="H45" i="119"/>
  <c r="G45" i="119"/>
  <c r="F27" i="119" l="1"/>
  <c r="G27" i="119"/>
  <c r="G25" i="119" l="1"/>
  <c r="F25" i="119"/>
  <c r="F41" i="119" l="1"/>
  <c r="H41" i="119"/>
  <c r="G41" i="119"/>
  <c r="J153" i="128" l="1"/>
  <c r="J164" i="128" l="1"/>
  <c r="J141" i="128"/>
  <c r="J148" i="128"/>
  <c r="J162" i="128"/>
  <c r="J142" i="128"/>
  <c r="J176" i="128"/>
  <c r="J140" i="128"/>
  <c r="J135" i="128"/>
  <c r="J163" i="128"/>
  <c r="J138" i="128"/>
  <c r="J149" i="128"/>
  <c r="J137" i="128"/>
  <c r="J161" i="128"/>
  <c r="J139" i="128"/>
  <c r="J136" i="128"/>
  <c r="J166" i="128"/>
  <c r="J174" i="128"/>
  <c r="J177" i="128" l="1"/>
  <c r="J157" i="128" s="1"/>
  <c r="C38" i="119" s="1"/>
  <c r="H39" i="119" s="1"/>
  <c r="J155" i="128"/>
  <c r="J132" i="128" s="1"/>
  <c r="C36" i="119" s="1"/>
  <c r="J219" i="128" l="1"/>
  <c r="G39" i="119"/>
  <c r="F39" i="119"/>
  <c r="H37" i="119"/>
  <c r="H49" i="119" s="1"/>
  <c r="G37" i="119"/>
  <c r="F37" i="119"/>
  <c r="C49" i="119"/>
  <c r="G49" i="119" l="1"/>
  <c r="G50" i="119" s="1"/>
  <c r="F49" i="119"/>
  <c r="F50" i="119" s="1"/>
  <c r="D14" i="119"/>
  <c r="D16" i="119"/>
  <c r="D28" i="119"/>
  <c r="D34" i="119"/>
  <c r="D32" i="119"/>
  <c r="D40" i="119"/>
  <c r="D18" i="119"/>
  <c r="D44" i="119"/>
  <c r="D12" i="119"/>
  <c r="D46" i="119"/>
  <c r="D20" i="119"/>
  <c r="D24" i="119"/>
  <c r="D26" i="119"/>
  <c r="D30" i="119"/>
  <c r="E50" i="119"/>
  <c r="E51" i="119" s="1"/>
  <c r="D22" i="119"/>
  <c r="D42" i="119"/>
  <c r="D38" i="119"/>
  <c r="D36" i="119"/>
  <c r="H50" i="119"/>
  <c r="F51" i="119" l="1"/>
  <c r="G51" i="119" s="1"/>
  <c r="H51" i="119" s="1"/>
</calcChain>
</file>

<file path=xl/sharedStrings.xml><?xml version="1.0" encoding="utf-8"?>
<sst xmlns="http://schemas.openxmlformats.org/spreadsheetml/2006/main" count="5200" uniqueCount="1191">
  <si>
    <t>11.1</t>
  </si>
  <si>
    <t>11.4</t>
  </si>
  <si>
    <t>12.1</t>
  </si>
  <si>
    <t>12.2</t>
  </si>
  <si>
    <t>13.2</t>
  </si>
  <si>
    <t>14.1</t>
  </si>
  <si>
    <t>17.1</t>
  </si>
  <si>
    <t>SERVIÇOS FINAIS</t>
  </si>
  <si>
    <t>VIDROS</t>
  </si>
  <si>
    <t>11.3</t>
  </si>
  <si>
    <t>13.1</t>
  </si>
  <si>
    <t>CENTRO DE DISTRIBUIÇÃO</t>
  </si>
  <si>
    <t>ELETRODUTOS E ACESSÓRIOS</t>
  </si>
  <si>
    <t>15.1</t>
  </si>
  <si>
    <t>15.2</t>
  </si>
  <si>
    <t>15.3</t>
  </si>
  <si>
    <t>ITEM</t>
  </si>
  <si>
    <t>CÓDIGO</t>
  </si>
  <si>
    <t>FONTE</t>
  </si>
  <si>
    <t>DESCRIÇÃO DOS SERVIÇOS</t>
  </si>
  <si>
    <t>QUANT.</t>
  </si>
  <si>
    <t>VALOR (R$)</t>
  </si>
  <si>
    <t>1.1</t>
  </si>
  <si>
    <t>un</t>
  </si>
  <si>
    <t>2.1</t>
  </si>
  <si>
    <t>3.1</t>
  </si>
  <si>
    <t>m³</t>
  </si>
  <si>
    <t>4.1</t>
  </si>
  <si>
    <t>m²</t>
  </si>
  <si>
    <t>5.1</t>
  </si>
  <si>
    <t>kg</t>
  </si>
  <si>
    <t>6.1</t>
  </si>
  <si>
    <t>m</t>
  </si>
  <si>
    <t>3.2</t>
  </si>
  <si>
    <t>7.1</t>
  </si>
  <si>
    <t>8.1</t>
  </si>
  <si>
    <t>1.2</t>
  </si>
  <si>
    <t>SEINFRA</t>
  </si>
  <si>
    <t>1.3</t>
  </si>
  <si>
    <t>1.4</t>
  </si>
  <si>
    <t>1.5</t>
  </si>
  <si>
    <t>2.2</t>
  </si>
  <si>
    <t>2.3</t>
  </si>
  <si>
    <t>2.4</t>
  </si>
  <si>
    <t>ALVENARIA DE VEDAÇÃO</t>
  </si>
  <si>
    <t>6.2</t>
  </si>
  <si>
    <t>9.1</t>
  </si>
  <si>
    <t>9.3</t>
  </si>
  <si>
    <t>9.4</t>
  </si>
  <si>
    <t>10.1</t>
  </si>
  <si>
    <t>10.2</t>
  </si>
  <si>
    <t>CONCRETO ARMADO - PILARES</t>
  </si>
  <si>
    <t>CONCRETO ARMADO - VIGAS</t>
  </si>
  <si>
    <t>PORTAS DE MADEIRA</t>
  </si>
  <si>
    <t>6.3</t>
  </si>
  <si>
    <t>6.4</t>
  </si>
  <si>
    <t>PAVIMENTAÇÃO EXTERNA</t>
  </si>
  <si>
    <t>7.4</t>
  </si>
  <si>
    <t>FERRAGENS E ACESSÓRIOS</t>
  </si>
  <si>
    <t>FUNDAÇÕES</t>
  </si>
  <si>
    <t>SISTEMA DE PROTEÇÃO CONTRA INCÊNDIO</t>
  </si>
  <si>
    <t xml:space="preserve">Subtotal </t>
  </si>
  <si>
    <t>14.5</t>
  </si>
  <si>
    <t>14.6</t>
  </si>
  <si>
    <t>14.7</t>
  </si>
  <si>
    <t>14.8</t>
  </si>
  <si>
    <t>16.1</t>
  </si>
  <si>
    <t>16.2</t>
  </si>
  <si>
    <t>16.3</t>
  </si>
  <si>
    <t>16.4</t>
  </si>
  <si>
    <t>9.2</t>
  </si>
  <si>
    <t>11.2</t>
  </si>
  <si>
    <t>14.3</t>
  </si>
  <si>
    <t>14.4</t>
  </si>
  <si>
    <t>% ITEM</t>
  </si>
  <si>
    <t>Valores totais</t>
  </si>
  <si>
    <t>4.1.1</t>
  </si>
  <si>
    <t>4.1.2</t>
  </si>
  <si>
    <t>4.1.3</t>
  </si>
  <si>
    <t>4.1.4</t>
  </si>
  <si>
    <t>5.1.1</t>
  </si>
  <si>
    <t>5.1.2</t>
  </si>
  <si>
    <t>6.1.1</t>
  </si>
  <si>
    <t>6.1.2</t>
  </si>
  <si>
    <t>6.2.1</t>
  </si>
  <si>
    <t>6.3.1</t>
  </si>
  <si>
    <t>10.1.1</t>
  </si>
  <si>
    <t>10.1.2</t>
  </si>
  <si>
    <t>10.2.1</t>
  </si>
  <si>
    <t>IMPERMEABILIZAÇÃO</t>
  </si>
  <si>
    <t>12.1.1</t>
  </si>
  <si>
    <t>12.1.2</t>
  </si>
  <si>
    <t>12.2.1</t>
  </si>
  <si>
    <t>12.2.2</t>
  </si>
  <si>
    <t>12.2.3</t>
  </si>
  <si>
    <t>12.2.4</t>
  </si>
  <si>
    <t>13.1.1</t>
  </si>
  <si>
    <t>13.1.2</t>
  </si>
  <si>
    <t>13.1.3</t>
  </si>
  <si>
    <t>13.1.4</t>
  </si>
  <si>
    <t>13.1.5</t>
  </si>
  <si>
    <t>13.1.6</t>
  </si>
  <si>
    <t>13.2.1</t>
  </si>
  <si>
    <t>13.2.2</t>
  </si>
  <si>
    <t>13.2.3</t>
  </si>
  <si>
    <t>SERVIÇOS PRELIMINARES</t>
  </si>
  <si>
    <t>SUPERESTRUTURA</t>
  </si>
  <si>
    <t>ESQUADRIAS</t>
  </si>
  <si>
    <t>PAVIMENTAÇÃO INTERNA</t>
  </si>
  <si>
    <t>12.1.3</t>
  </si>
  <si>
    <t>12.1.4</t>
  </si>
  <si>
    <t>12.1.5</t>
  </si>
  <si>
    <t>12.1.6</t>
  </si>
  <si>
    <t>12.1.7</t>
  </si>
  <si>
    <t>12.1.8</t>
  </si>
  <si>
    <t>12.1.9</t>
  </si>
  <si>
    <t>Piso cimentado desempenado traço 1:3 (cimento e areia), espessura 3cm</t>
  </si>
  <si>
    <t>Joelho PVC 45º soldável Ø 25mm, fornecimento e instalação</t>
  </si>
  <si>
    <t>Joelho PVC 90º soldável Ø 25mm, fornecimento e instalação</t>
  </si>
  <si>
    <t>Joelho PVC 90º soldável Ø 40mm, fornecimento e instalação</t>
  </si>
  <si>
    <t>Tubo de PVC Série Normal Ø 100mm, fornecimento e instalação</t>
  </si>
  <si>
    <t>Tubo de PVC Série Normal Ø 40mm, fornecimento e instalação</t>
  </si>
  <si>
    <t>Tubo de PVC Série Normal Ø 50mm, fornecimento e instalação</t>
  </si>
  <si>
    <t>Joelho PVC 45º Ø 40mm, fornecimento e instalação</t>
  </si>
  <si>
    <t>Joelho PVC 90º Ø 40mm, fornecimento e instalação</t>
  </si>
  <si>
    <t>Laje de concreto pré-moldada para forro com escoramento</t>
  </si>
  <si>
    <t>CONCRETO ARMADO - VERGAS E CONTRAVERGAS</t>
  </si>
  <si>
    <t>Chapisco em teto com argamassa traço 1:4 (cimento e areia)</t>
  </si>
  <si>
    <t>SISTEMAS DE COBERTURA</t>
  </si>
  <si>
    <t>CONCRETO ARMADO - VIGAS BALDRAMES</t>
  </si>
  <si>
    <t>MOVIMENTO DE TERRA PARA FUNDAÇÕES</t>
  </si>
  <si>
    <t>Lastro de concreto não-estrutural, espessura 5cm</t>
  </si>
  <si>
    <t>Contrapiso de concreto não-estrutural, espessura 5cm e preparo mecânico</t>
  </si>
  <si>
    <t>Tubo PVC soldável Ø 25mm, fornecimento e instalação</t>
  </si>
  <si>
    <t>Tê PVC soldável Ø 25mm, fornecimento e instalação</t>
  </si>
  <si>
    <t>Tê PVC soldável Ø 40mm, fornecimento e instalação</t>
  </si>
  <si>
    <t>Chapisco em parede com argamassa traço 1:3 (cimento e areia)</t>
  </si>
  <si>
    <t>Disjuntor termomagnético monopolar 16A, fornecimento e instalação</t>
  </si>
  <si>
    <t>Torneira de boia Ø 25mm, fornecimento e instalação</t>
  </si>
  <si>
    <t>Joelho PVC 45º Ø 100mm, fornecimento e instalação</t>
  </si>
  <si>
    <t>UN.</t>
  </si>
  <si>
    <t>REGISTROS E OUTROS</t>
  </si>
  <si>
    <t>CABOS E FIOS CONDUTORES</t>
  </si>
  <si>
    <t>Tubo PVC soldável Ø 40mm, fornecimento e instalação</t>
  </si>
  <si>
    <t>Encunhamento (aperto de alvenaria) com tijolos cerâmicos maciços 5,7x9x19cm em ½ vez (espessura 9cm); assentamento com argamassa traço 1:2 (cimento e areia)</t>
  </si>
  <si>
    <t>Concreto Bombeado fck= 25MPa; incluindo preparo, lançamento e adensamento</t>
  </si>
  <si>
    <t>Verga e contraverga pré-moldada fck= 20MPa, seção 10x10cm</t>
  </si>
  <si>
    <t>PM1 - Porta de madeira para pintura, semi-oca (leve ou média), dimensões 80x210cm, espessura 3,5cm; incluso dobradiças, batentes e fechadura</t>
  </si>
  <si>
    <t>Pintura em látex PVA sobre teto, 2 demãos</t>
  </si>
  <si>
    <t>Pintura em látex acrílico sobre paredes internas, 2 demãos</t>
  </si>
  <si>
    <t>Pintura em esmalte sintético acetinado sobre esquadrias de madeira, 2 demãos</t>
  </si>
  <si>
    <t>PINTURAS E ACABAMENTOS</t>
  </si>
  <si>
    <t>REVESTIMENTOS INTERNO E EXTERNO</t>
  </si>
  <si>
    <t>SISTEMAS DE VEDAÇÃO VERTICAL</t>
  </si>
  <si>
    <t>LOUÇAS, ACESSÓRIOS E METAIS</t>
  </si>
  <si>
    <t>SISTEMAS DE PISOS</t>
  </si>
  <si>
    <t>Chapa metálica plana resistente a impactos 14GSG 1,95mm; nas portas PM1 e PM3</t>
  </si>
  <si>
    <t>INSTALAÇÃO HIDRÁULICA</t>
  </si>
  <si>
    <t>INSTALAÇÃO SANITÁRIA</t>
  </si>
  <si>
    <t>Escavação manual de valas em qualquer terreno exceto rocha até h= 2,0m</t>
  </si>
  <si>
    <t>Regularização e compactação do fundo de valas</t>
  </si>
  <si>
    <t>Reaterro apiloado de vala com material da obra</t>
  </si>
  <si>
    <t>Peças de apoio para PNE em aço inox para WC, nas portas PM1 e PM3</t>
  </si>
  <si>
    <t>Disjuntor termomagnético monopolar 10A, fornecimento e instalação</t>
  </si>
  <si>
    <t>Eletroduto PVC flexível corrugado reforçado Ø 25mm, fornecimento e instalação</t>
  </si>
  <si>
    <t>Luminária de emergência com 30 LED, fornecimento e instalação</t>
  </si>
  <si>
    <t>Caixa Sifonada 100x100x50mm, fornecimento e instalação</t>
  </si>
  <si>
    <t>Revestimento cerâmico com placas de dimensões 30x40cm aplicadas à meia altura das paredes</t>
  </si>
  <si>
    <t>Espelho cristal com moldura em alumínio e compensado plastificado, espessura 4mm</t>
  </si>
  <si>
    <t>Impermeabilização de superfície com tinta betuminosa em fundações, 2 demãos</t>
  </si>
  <si>
    <t>Cuba de embutir em aço Inoxidável completa, dimensões 40x34x17cm</t>
  </si>
  <si>
    <t>Bacia Sanitária Convencional em louça branca, fornecimento e instalação</t>
  </si>
  <si>
    <t>Lavatório Pequeno Ravena/Izy cor Branco Gelo, código L.915; DECA ou equivalente</t>
  </si>
  <si>
    <t>Torneira para cozinha de mesa bica móvel Izy, código 1167.C37; DECA ou equivalente</t>
  </si>
  <si>
    <t>Torneira para lavatório de mesa bica baixa Izy, código 1193.C37; DECA ou equivalente</t>
  </si>
  <si>
    <t>Papeleira Metálica Linha Izy, código 2020.C37, DECA ou equivalente; fornecimento e instalação</t>
  </si>
  <si>
    <t>Assento plástico Izy, código AP.01, DECA ou equivalente; fornecimento e instalação</t>
  </si>
  <si>
    <t>Caixa de inspeção em alvenaria 90x90x60cm</t>
  </si>
  <si>
    <t>Ralo Seco PVC rígido 100mm x 40mm, fornecimento e instalação</t>
  </si>
  <si>
    <t>TUBULAÇÕES E CONEXÕES DE PVC</t>
  </si>
  <si>
    <t>CAIXAS E ACESSÓRIOS</t>
  </si>
  <si>
    <t>13.1.7</t>
  </si>
  <si>
    <t>13.1.8</t>
  </si>
  <si>
    <t>13.1.9</t>
  </si>
  <si>
    <t>13.1.10</t>
  </si>
  <si>
    <t>Extintor PQS (ABC) 6kg, fornecimento e instalação</t>
  </si>
  <si>
    <t>Extintor CO2 (BC) 6kg, fornecimento e instalação</t>
  </si>
  <si>
    <t>Tomada universal 2P+T 15A/250V com suporte e placa, fornecimento e instalação</t>
  </si>
  <si>
    <t>Interruptor simples 1 tecla 10A/250V com suporte e placa, fornecimento e instalação</t>
  </si>
  <si>
    <t>Armação de aço CA-60 Ø 5,0mm; incluso fornecimento, corte, dobra e colocação</t>
  </si>
  <si>
    <t>Armação de aço CA-50 Ø 8mm; incluso fornecimento, corte, dobra e colocação</t>
  </si>
  <si>
    <t>Armação de aço CA-50 Ø 10mm; incluso fornecimento, corte, dobra e colocação</t>
  </si>
  <si>
    <t>Armação de aço CA-50 Ø 6,3mm; incluso fornecimento, corte, dobra e colocação</t>
  </si>
  <si>
    <t>Alvenaria de vedação com blocos cerâmicos 9x19x39cm em ½ vez; assentamento com argamassa traço 1:2:8 (cimento, cal e areia)</t>
  </si>
  <si>
    <t>PLANEJAMENTO</t>
  </si>
  <si>
    <t>CUSTO (R$)</t>
  </si>
  <si>
    <t>PREÇO (R$)</t>
  </si>
  <si>
    <t>Valor TOTAL com BDI</t>
  </si>
  <si>
    <t>INSTALAÇÃO ELÉTRICA - 110V</t>
  </si>
  <si>
    <t>Disjuntor termomagnético bipolar 50A, fornecimento e instalação</t>
  </si>
  <si>
    <t>Placa de obra em chapa zincada, instalada</t>
  </si>
  <si>
    <t>Limpeza geral</t>
  </si>
  <si>
    <t>Barracão provisório para depósito - 14m²</t>
  </si>
  <si>
    <t>SINAPI</t>
  </si>
  <si>
    <t>PREFEITURA DE MUNICIPAL DE CORGUINHO</t>
  </si>
  <si>
    <r>
      <t>Município</t>
    </r>
    <r>
      <rPr>
        <sz val="10"/>
        <rFont val="Arial"/>
        <family val="2"/>
      </rPr>
      <t>: Corguinho/MS</t>
    </r>
  </si>
  <si>
    <t>PM2 - Porta de madeira para pintura, semi-oca (leve ou média), dimensões 90x210cm, espessura 3,5cm; incluso dobradiças, batentes e fechadura</t>
  </si>
  <si>
    <t>PM3 - Porta de madeira para pintura, semi-oca (leve ou média), dimensões 60x210cm, espessura 3,5cm; incluso dobradiças, batentes e fechadura</t>
  </si>
  <si>
    <t>Cobertura em telha fibrocimento esp 6 mm, inclinação de 30%</t>
  </si>
  <si>
    <t>Cumeeira com telha fibrocimento esp 6 mm</t>
  </si>
  <si>
    <t>16.1.1</t>
  </si>
  <si>
    <t>16.1.2</t>
  </si>
  <si>
    <t>16.1.3</t>
  </si>
  <si>
    <t>16.1.4</t>
  </si>
  <si>
    <t>16.2.1</t>
  </si>
  <si>
    <t>16.3.1</t>
  </si>
  <si>
    <t>16.3.2</t>
  </si>
  <si>
    <t>16.4.1</t>
  </si>
  <si>
    <t>Vidro temperado incolor, espessura 10mm, fornecimento e instalação, inclusive massa para vedeção</t>
  </si>
  <si>
    <t>AMPLIAÇÃO</t>
  </si>
  <si>
    <t>PORTA VIDRO TEMPERADO INCOLOR, 2 FOLHAS DE CORRER, E = 10 MM</t>
  </si>
  <si>
    <t>MOLA HIDRAULICA DE PISO PARA PORTA DE VIDRO TEMPERADO</t>
  </si>
  <si>
    <t>JOGO DE FERRAGENS CROMADAS PARA PORTA DE VIDRO TEMPERADO</t>
  </si>
  <si>
    <t>6.4.1</t>
  </si>
  <si>
    <t>TRAMA DE AÇO COMPOSTA POR TERÇAS PARA TELHADOS DE ATÉ 2 ÁGUAS PARA TELHA ONDULADA DE FIBROCIMENTO, METÁLICA, PLÁSTICA OU TERMOACÚSTICA, INCLUSO TRANSPORTE VERTICAL</t>
  </si>
  <si>
    <t>7.2</t>
  </si>
  <si>
    <t>7.3</t>
  </si>
  <si>
    <t>Caixa d'água em fibra de vidro, capacidade 1000L, fornecimento e instalação</t>
  </si>
  <si>
    <t>15.4</t>
  </si>
  <si>
    <t>15.5</t>
  </si>
  <si>
    <t>PLACA DE ACRILICO TRANSPARENTE ADESIVADA PARA SINALIZACAO DE PORTAS, BORDA POLIDA, DE *25 X 8*, E = 6 MM (NAO INCLUI ACESSORIOS PARA FIXACAO)</t>
  </si>
  <si>
    <t>PLACA DE ACRILICO TRANSPARENTE ADESIVADA PARA SINALIZACAO DE EMERGÊNCIA, BORDA POLIDA, DE *25 X 8*, E = 6 MM (NAO INCLUI ACESSORIOS PARA FIXACAO)</t>
  </si>
  <si>
    <t>Cotovelo PVC 100mm x 90mm, fornecimento e instalação</t>
  </si>
  <si>
    <t>Luva PVC 100mm, fornecimento e instalação</t>
  </si>
  <si>
    <t>Junção PVC simples 100mm x 50mm, fornecimento e instalação</t>
  </si>
  <si>
    <t>Joelho PVC 90mm x 50mm, fornecimento e instalação</t>
  </si>
  <si>
    <t>Joelho PVC 45º Ø 90mm x 50mm, fornecimento e instalação</t>
  </si>
  <si>
    <t>Anel de vedação 100mm, fornecimento e instalação</t>
  </si>
  <si>
    <t>Cotovelo L/R 25mm x 1/2 de 3/4, fornecimento e instalação</t>
  </si>
  <si>
    <t>Registro de gaveta bruto Ø 3/4", fornecimento e instalação</t>
  </si>
  <si>
    <t>Registro de presão bruto Ø 3/4", fornecimento e instalação</t>
  </si>
  <si>
    <t>Adaptador 3/4 para registro, fornecimento e instalação</t>
  </si>
  <si>
    <t>Adaptador de rosca 3/4 para registro, fornecimento e instalação</t>
  </si>
  <si>
    <t>Curva PVC 45º Ø 3/4, fornecimento e instalação</t>
  </si>
  <si>
    <t>Tubo de Cola de 1 Litro</t>
  </si>
  <si>
    <t>Tubo de solução limpadora 1 Litro</t>
  </si>
  <si>
    <t>Folha de Lixa</t>
  </si>
  <si>
    <t>Veda Rosca, Fita Teflon</t>
  </si>
  <si>
    <t>Quadro de distribuição de energia para 24 disjuntores, fornecimento e instalação</t>
  </si>
  <si>
    <t>Disjuntor termomagnético bipolar 20A, fornecimento e instalação</t>
  </si>
  <si>
    <t>Cabo de cobre flexível, isolado, seção de 2,5mm²; anti-chama 450/750V azul</t>
  </si>
  <si>
    <t>Cabo de cobre flexível, isolado, seção de 2,5mm²; anti-chama 450/750V vermelho</t>
  </si>
  <si>
    <t>Cabo de cobre flexível, isolado, seção de 10mm²; anti-chama 450/750V preto</t>
  </si>
  <si>
    <t>Cabo de cobre flexível, isolado, seção de 10mm²; anti-chama 450/750V Azul</t>
  </si>
  <si>
    <t>Cabo de cobre flexível, isolado, seção de 1,5mm²; anti-chama 450/750V branco</t>
  </si>
  <si>
    <t>Cabo de cobre flexível, isolado, seção de 1,5mm²; anti-chama 450/750V amarelo</t>
  </si>
  <si>
    <t>Cabo de cobre flexível, isolado, seção de 6mm²; anti-chama 450/750V amarelo</t>
  </si>
  <si>
    <t>Cabo de cobre flexível, isolado, seção de 6mm²; anti-chama 450/750V Branco</t>
  </si>
  <si>
    <t>Caixa de passagem PVC 4x2" com tampa parafusada, fornecimento e instalação</t>
  </si>
  <si>
    <t>Roldana Media</t>
  </si>
  <si>
    <t>Rolo de Fita Isolante</t>
  </si>
  <si>
    <t>13.1.11</t>
  </si>
  <si>
    <t>13.1.12</t>
  </si>
  <si>
    <t>12.2.5</t>
  </si>
  <si>
    <t>12.2.6</t>
  </si>
  <si>
    <t>12.2.7</t>
  </si>
  <si>
    <t>12.2.8</t>
  </si>
  <si>
    <t>12.2.9</t>
  </si>
  <si>
    <t>12.2.10</t>
  </si>
  <si>
    <t>16.3.4</t>
  </si>
  <si>
    <t>Locação convencional de obra, utilizando gabarito de tábua corridas pontaletadas a acada 2,00 metros</t>
  </si>
  <si>
    <t xml:space="preserve">m </t>
  </si>
  <si>
    <t>Areia para aterro - Posto Jazida/Fornecedor (retirado na jazida, sem transporte)</t>
  </si>
  <si>
    <t>2.5</t>
  </si>
  <si>
    <t>m3 x km</t>
  </si>
  <si>
    <t>Transporte com caminhão basculante de 6 m³, em via urbana em leito naturak (unidae : m³ x km) - DMT 10 Km</t>
  </si>
  <si>
    <t>CONSTRUÇÃO DA ESF</t>
  </si>
  <si>
    <t>Estaca broca de concreto, diâmtro de 30 cm, profundidade de até 3m, escavação manual com trado concha, não armada.</t>
  </si>
  <si>
    <t>Concretagem de pilares, Fck = 25 MPA, com uso de baldes em edificações com seção média de pilares menor ou igual a 0,25 m2 - lançamento, adensamento e acabamento</t>
  </si>
  <si>
    <t>ARMAÇÃO DE PILAR OU VIGA DE UMA ESTRUTURA CONVENCIONAL DE CONCRETO ARMADO EM UM EDIFÍCIO DE MÚLTIPLOS PAVIMENTOS UTILIZANDO AÇO CA-60 DE 5,0 MM</t>
  </si>
  <si>
    <t>KG</t>
  </si>
  <si>
    <t>ARMAÇÃO DE BLOCO, VIGA BALDRAME OU SAPATA UTILIZANDO AÇO CA-50 DE 10 MM</t>
  </si>
  <si>
    <t>CONCRETO ARMADO - ESTACAS E BLOCOS</t>
  </si>
  <si>
    <t>ARMAÇÃO DE BLOCO, VIGA BALDRAME OU SAPATA UTILIZANDO AÇO CA-50 DE 6,3MM</t>
  </si>
  <si>
    <t>Concreto Bombeado fck= 25MPa; incluindo preparo</t>
  </si>
  <si>
    <t>LANÇAMENTO COM USO DE BALDES, ADENSAMENTO E ACABAMENTO DE CONCRETO EM ESTRUTURAS.</t>
  </si>
  <si>
    <t>DEMOLIÇÕES E RETIRADAS</t>
  </si>
  <si>
    <t xml:space="preserve">Demolicao manual concreto armado (pilar / viga / laje) - incl empilhacao lateral no canteiro                                                                                                            </t>
  </si>
  <si>
    <t xml:space="preserve">Demolicao de alvenaria de tijolos furados s/reaproveitamentoao lateral no canteiro                                                                                                                      </t>
  </si>
  <si>
    <t xml:space="preserve">Remocao de azulejo e substrato de aderencia em argamassa                                                                                                                                                </t>
  </si>
  <si>
    <t xml:space="preserve">Retirada de telhas onduladas                                                                                                                                                                            </t>
  </si>
  <si>
    <t>2.6</t>
  </si>
  <si>
    <t xml:space="preserve">m3    </t>
  </si>
  <si>
    <t>m2</t>
  </si>
  <si>
    <t>TRANSPORTE DE ENTULHO COM CAMINHÃO BASCULANTE 6 M3, RODOVIA PAVIMENTADA, DMT ATE 0,5 KM</t>
  </si>
  <si>
    <t>3.3</t>
  </si>
  <si>
    <t>3.4</t>
  </si>
  <si>
    <t>3.5</t>
  </si>
  <si>
    <t>4.1.6</t>
  </si>
  <si>
    <t>4.1.8</t>
  </si>
  <si>
    <t>4.1.10</t>
  </si>
  <si>
    <t>4.1.11</t>
  </si>
  <si>
    <t>4.1.12</t>
  </si>
  <si>
    <t>4.1.13</t>
  </si>
  <si>
    <t>4.1.14</t>
  </si>
  <si>
    <t>4.1.15</t>
  </si>
  <si>
    <t>5.1.3</t>
  </si>
  <si>
    <t>5.1.4</t>
  </si>
  <si>
    <t>5.2</t>
  </si>
  <si>
    <t>5.2.1</t>
  </si>
  <si>
    <t>5.2.2</t>
  </si>
  <si>
    <t>5.2.3</t>
  </si>
  <si>
    <t>5.2.4</t>
  </si>
  <si>
    <t>5.2.5</t>
  </si>
  <si>
    <t>5.3</t>
  </si>
  <si>
    <t>5.3.1</t>
  </si>
  <si>
    <t>Montagem e desmontagem de forma, em chapa de madeira compensada plastificada com reaproveitamento</t>
  </si>
  <si>
    <t>5.2.6</t>
  </si>
  <si>
    <t xml:space="preserve">Demolicao de forro                                                                                                                                                                          </t>
  </si>
  <si>
    <t>BALDRAME</t>
  </si>
  <si>
    <t>ESTRIBO</t>
  </si>
  <si>
    <t>FABRICAÇÃO E INSTALAÇÃO DE TESOURA INTEIRA EM MADEIRA NÃO APARELHADA, VÃO DE 7 M, PARA TELHA CERÂMICA OU DE CONCRETO, INCLUSO IÇAMENTO</t>
  </si>
  <si>
    <t>unid</t>
  </si>
  <si>
    <t>CALHA EM CHAPA DE AÇO GALVANIZADO NÚMERO 24, DESENVOLVIMENTO DE 100 CM, INCLUSO TRANSPORTE VERTICAL</t>
  </si>
  <si>
    <t>RUFO EM CHAPA DE AÇO GALVANIZADO NÚMERO 24, CORTE DE 25 CM, INCLUSO TRANSPORTE VERTICAL</t>
  </si>
  <si>
    <t>LUMINÁRIA TIPO CALHA, DE SOBREPOR, COM 2 LÂMPADAS TUBULARES DE 36 W - FORNECIMENTO E INSTALAÇÃO</t>
  </si>
  <si>
    <t xml:space="preserve">BDI = </t>
  </si>
  <si>
    <t>REVESTIMENTO CERÂMICO PARA PISO COM PLACAS TIPO ESMALTADA EXTRA DE DIMENSÕES 60X60 CM APLICADA EM AMBIENTES DE ÁREA MAIOR QUE 10 M2</t>
  </si>
  <si>
    <t>Emassamento de parede de tetos internos, duas demaos</t>
  </si>
  <si>
    <t>11.5</t>
  </si>
  <si>
    <t>Textura acrilica externa</t>
  </si>
  <si>
    <t>REVESTIMENTO CERÂMICO PARA PISO COM PLACAS TIPO ESMALTADA EXTRA DE DIMENSÕES 60X60 CM APLICADA EM AMBIENTES DE ÁREA MAIOR QUE 10 M2 - RODAPÉ</t>
  </si>
  <si>
    <t>4.1.5</t>
  </si>
  <si>
    <t>4.1.7</t>
  </si>
  <si>
    <t>10.1.3</t>
  </si>
  <si>
    <t>74209/001</t>
  </si>
  <si>
    <t>Concreto Bombeado fck= 25MPa; incluindo preparo e lançamento</t>
  </si>
  <si>
    <t>Item 3.07</t>
  </si>
  <si>
    <t>Sinduscon</t>
  </si>
  <si>
    <t>Consumo de agua e esgoto (mensal acima de 10 m3) - 15 m3/mês</t>
  </si>
  <si>
    <t>Item 3.08</t>
  </si>
  <si>
    <t>Consumo de energia - 120 kw/mês</t>
  </si>
  <si>
    <t>Kw</t>
  </si>
  <si>
    <t xml:space="preserve">Massa única em teto com argamassa traço 1:2:8 (cimento, cal e areia), espessura 2cm </t>
  </si>
  <si>
    <t>Massa única em parede com argamassa traço 1:2:8 (cimento, cal e areia), em betoneiras de 400l</t>
  </si>
  <si>
    <t>4.1.16</t>
  </si>
  <si>
    <t>5.1.5</t>
  </si>
  <si>
    <t>Descrição do Insumo</t>
  </si>
  <si>
    <t>Quantidade</t>
  </si>
  <si>
    <t>Custo Unit.</t>
  </si>
  <si>
    <t>Custo Total</t>
  </si>
  <si>
    <t>4417</t>
  </si>
  <si>
    <t>Sarrafo de madeira nao aparelhada *2,5 x 7* cm, macaranduba, angelim ou equivalente da regiao /m</t>
  </si>
  <si>
    <t>4491</t>
  </si>
  <si>
    <t>Pontalete de madeira nao aparelhada *7,5 x 7,5* cm (3 x 3 ") pinus, mista ou equivalente da regiao /m</t>
  </si>
  <si>
    <t>4813</t>
  </si>
  <si>
    <t>Placa de obra (para construcao civil) em chapa galvanizada *n. 22*, adesivada, de *2,0 x 1,125* m /m2</t>
  </si>
  <si>
    <t>5075</t>
  </si>
  <si>
    <t>Prego de aco polido com cabeca 18 x 30 (2 3/4 x 10) /kg</t>
  </si>
  <si>
    <t>94962</t>
  </si>
  <si>
    <t>Concreto magro para lastro, traço 1:4,5:4,5 (cimento/ areia média/ brita 1) - preparo mecânico com betoneira 400 l. af_07/2016 /m3</t>
  </si>
  <si>
    <t>Material</t>
  </si>
  <si>
    <t>88262</t>
  </si>
  <si>
    <t>Carpinteiro de formas com encargos complementares /h</t>
  </si>
  <si>
    <t>88316</t>
  </si>
  <si>
    <t>Servente com encargos complementares /h</t>
  </si>
  <si>
    <t>Mão de Obra</t>
  </si>
  <si>
    <t>Total do Custo</t>
  </si>
  <si>
    <t>11455</t>
  </si>
  <si>
    <t>Fecho / trinco / ferrolho fio redondo, de sobrepor, 8", em aco galvanizado / zincado /un</t>
  </si>
  <si>
    <t>83518</t>
  </si>
  <si>
    <t>Alvenaria embasamento e=20 cm bloco concreto /m3</t>
  </si>
  <si>
    <t>88487</t>
  </si>
  <si>
    <t>Aplicação manual de pintura com tinta látex pva em paredes, duas demãos. af_06/2014 /m2</t>
  </si>
  <si>
    <t>91170</t>
  </si>
  <si>
    <t>Fixação de tubos horizontais de pvc, cpvc ou cobre diâmetros menores ou iguais a 40 mm ou eletrocalhas até 150mm de largura, com abraçadeira metálica rígida tipo d 1/2, fixada em perfilado em laje. af_05/2015 /m</t>
  </si>
  <si>
    <t>91173</t>
  </si>
  <si>
    <t>Fixação de tubos verticais de ppr diâmetros menores ou iguais a 40 mm com abraçadeira metálica rígida tipo d 1/2", fixada em perfilado em alvenaria. af_05/2015 /m</t>
  </si>
  <si>
    <t>91341</t>
  </si>
  <si>
    <t>Porta em alumínio de abrir tipo veneziana com guarnição, fixação com parafusos - fornecimento e instalação. af_08/2015 /m2</t>
  </si>
  <si>
    <t>91852</t>
  </si>
  <si>
    <t>Eletroduto flexível corrugado, pvc, dn 20 mm (1/2"), para circuitos terminais, instalado em parede - fornecimento e instalação. af_12/2015 /m</t>
  </si>
  <si>
    <t>91862</t>
  </si>
  <si>
    <t>Eletroduto rígido roscável, pvc, dn 20 mm (1/2"), para circuitos terminais, instalado em forro - fornecimento e instalação. af_12/2015 /m</t>
  </si>
  <si>
    <t>91870</t>
  </si>
  <si>
    <t>Eletroduto rígido roscável, pvc, dn 20 mm (1/2"), para circuitos terminais, instalado em parede - fornecimento e instalação. af_12/2015 /m</t>
  </si>
  <si>
    <t>91924</t>
  </si>
  <si>
    <t>Cabo de cobre flexível isolado, 1,5 mm², anti-chama 450/750 v, para circuitos terminais - fornecimento e instalação. af_12/2015 /m</t>
  </si>
  <si>
    <t>92023</t>
  </si>
  <si>
    <t>Interruptor simples (1 módulo) com 1 tomada de embutir 2p+t 10 a, incluindo suporte e placa - fornecimento e instalação. af_12/2015 /un</t>
  </si>
  <si>
    <t>92543</t>
  </si>
  <si>
    <t>Trama de madeira composta por terças para telhados de até 2 águas para telha ondulada de fibrocimento, metálica, plástica ou termoacústica, incluso transporte vertical. af_07/2019 /m2</t>
  </si>
  <si>
    <t>93358</t>
  </si>
  <si>
    <t>Escavação manual de vala com profundidade menor ou igual a 1,30 m. af_03/2016 /m3</t>
  </si>
  <si>
    <t>94210</t>
  </si>
  <si>
    <t>Telhamento com telha ondulada de fibrocimento e = 6 mm, com recobrimento lateral de 1 1/4 de onda para telhado com inclinação máxima de 10°, com até 2 águas, incluso içamento. af_07/2019 /m2</t>
  </si>
  <si>
    <t>94559</t>
  </si>
  <si>
    <t>Janela de aço basculante, fixação com argamassa, sem vidros, padronizada. af_07/2016 /m2</t>
  </si>
  <si>
    <t>95240</t>
  </si>
  <si>
    <t>Lastro de concreto magro, aplicado em pisos ou radiers, espessura de 3 cm. af_07/2016 /m2</t>
  </si>
  <si>
    <t>95241</t>
  </si>
  <si>
    <t>Lastro de concreto magro, aplicado em pisos ou radiers, espessura de 5 cm. af_07/2016 /m2</t>
  </si>
  <si>
    <t>95805</t>
  </si>
  <si>
    <t>Condulete de pvc, tipo b, para eletroduto de pvc soldável dn 25 mm (3/4''), aparente - fornecimento e instalação. af_11/2016 /un</t>
  </si>
  <si>
    <t>96995</t>
  </si>
  <si>
    <t>Reaterro manual apiloado com soquete. af_10/2017 /m3</t>
  </si>
  <si>
    <t>97586</t>
  </si>
  <si>
    <t>Luminária tipo calha, de sobrepor, com 2 lâmpadas tubulares de 36 w - fornecimento e instalação. af_11/2017 /un</t>
  </si>
  <si>
    <t>98441</t>
  </si>
  <si>
    <t>Parede de madeira compensada para construção temporária em chapa simples, externa, com área líquida maior ou igual a 6 m², sem vão. af_05/2018 /m2</t>
  </si>
  <si>
    <t>98442</t>
  </si>
  <si>
    <t>Parede de madeira compensada para construção temporária em chapa simples, externa, com área líquida menor que 6 m², sem vão. af_05/2018 /m2</t>
  </si>
  <si>
    <t>98445</t>
  </si>
  <si>
    <t>Parede de madeira compensada para construção temporária em chapa simples, externa, com área líquida maior ou igual a 6 m², com vão. af_05/2018 /m2</t>
  </si>
  <si>
    <t>98446</t>
  </si>
  <si>
    <t>Parede de madeira compensada para construção temporária em chapa simples, externa, com área líquida menor que 6 m², com vão. af_05/2018 /m2</t>
  </si>
  <si>
    <t>4433</t>
  </si>
  <si>
    <t>Peca de madeira nao aparelhada *7,5 x 7,5* cm (3 x 3 ") macaranduba, angelim ou equivalente da regiao /m</t>
  </si>
  <si>
    <t>5068</t>
  </si>
  <si>
    <t>Prego de aco polido com cabeca 17 x 21 (2 x 11) /kg</t>
  </si>
  <si>
    <t>7356</t>
  </si>
  <si>
    <t>Tinta acrilica premium, cor branco fosco /l</t>
  </si>
  <si>
    <t>10567</t>
  </si>
  <si>
    <t>Tabua de madeira nao aparelhada *2,5 x 23* cm (1 x 9 ") pinus, mista ou equivalente da regiao /m</t>
  </si>
  <si>
    <t>91692</t>
  </si>
  <si>
    <t>Serra circular de bancada com motor elétrico potência de 5hp, com coifa para disco 10" - chp diurno. af_08/2015 /chp</t>
  </si>
  <si>
    <t>91693</t>
  </si>
  <si>
    <t>Serra circular de bancada com motor elétrico potência de 5hp, com coifa para disco 10" - chi diurno. af_08/2015 /chi</t>
  </si>
  <si>
    <t>94974</t>
  </si>
  <si>
    <t>Concreto magro para lastro, traço 1:4,5:4,5 (cimento/ areia média/ brita 1) - preparo manual. af_07/2016 /m3</t>
  </si>
  <si>
    <t>99062</t>
  </si>
  <si>
    <t>Marcação de pontos em gabarito ou cavalete. af_10/2018 /un</t>
  </si>
  <si>
    <t>88239</t>
  </si>
  <si>
    <t>Ajudante de carpinteiro com encargos complementares /h</t>
  </si>
  <si>
    <t>5795</t>
  </si>
  <si>
    <t>Martelete ou rompedor pneumático manual, 28 kg, com silenciador - chp diurno. af_07/2016 /chp</t>
  </si>
  <si>
    <t>5952</t>
  </si>
  <si>
    <t>Martelete ou rompedor pneumático manual, 28 kg, com silenciador - chi diurno. af_07/2016 /chi</t>
  </si>
  <si>
    <t>42655</t>
  </si>
  <si>
    <t>Cabo de aco galvanizado, diametro 9,53 mm (3/8"), com alma de fibra 6 x 25 f (coletado caixa) /kg</t>
  </si>
  <si>
    <t>88309</t>
  </si>
  <si>
    <t>Pedreiro com encargos complementares /h</t>
  </si>
  <si>
    <t>88278</t>
  </si>
  <si>
    <t>Montador de estrutura metálica com encargos complementares /h</t>
  </si>
  <si>
    <t>88256</t>
  </si>
  <si>
    <t>Azulejista ou ladrilhista com encargos complementares /h</t>
  </si>
  <si>
    <t>88323</t>
  </si>
  <si>
    <t>Telhadista com encargos complementares /h</t>
  </si>
  <si>
    <t>5811</t>
  </si>
  <si>
    <t>Caminhão basculante 6 m3, peso bruto total 16.000 kg, carga útil máxima 13.071 kg, distância entre eixos 4,80 m, potência 230 cv inclusive caçamba metálica - chp diurno. af_06/2014 /chp</t>
  </si>
  <si>
    <t>368</t>
  </si>
  <si>
    <t>67826</t>
  </si>
  <si>
    <t>Caminhão basculante 6 m3 toco, peso bruto total 16.000 kg, carga útil máxima 11.130 kg, distância entre eixos 5,36 m, potência 185 cv, inclusive caçamba metálica - chp diurno. af_06/2014 /chp</t>
  </si>
  <si>
    <t>67827</t>
  </si>
  <si>
    <t>Caminhão basculante 6 m3 toco, peso bruto total 16.000 kg, carga útil máxima 11.130 kg, distância entre eixos 5,36 m, potência 185 cv, inclusive caçamba metálica - chi diurno. af_06/2014 /chi</t>
  </si>
  <si>
    <t>91533</t>
  </si>
  <si>
    <t>Compactador de solos de percussão (soquete) com motor a gasolina 4 tempos, potência 4 cv - chp diurno. af_08/2015 /chp</t>
  </si>
  <si>
    <t>91534</t>
  </si>
  <si>
    <t>Compactador de solos de percussão (soquete) com motor a gasolina 4 tempos, potência 4 cv - chi diurno. af_08/2015 /chi</t>
  </si>
  <si>
    <t>5631</t>
  </si>
  <si>
    <t>Escavadeira hidráulica sobre esteiras, caçamba 0,80 m3, peso operacional 17 t, potencia bruta 111 hp - chp diurno. af_06/2014 /chp</t>
  </si>
  <si>
    <t>5632</t>
  </si>
  <si>
    <t>Escavadeira hidráulica sobre esteiras, caçamba 0,80 m3, peso operacional 17 t, potencia bruta 111 hp - chi diurno. af_06/2014 /chi</t>
  </si>
  <si>
    <t>95606</t>
  </si>
  <si>
    <t>Umidificação de material para valas com caminhão pipa 10000l. af_11/2016 /m3</t>
  </si>
  <si>
    <t>92795</t>
  </si>
  <si>
    <t>Corte e dobra de aço ca-50, diâmetro de 12,5 mm, utilizado em estruturas diversas, exceto lajes. af_12/2015 /kg</t>
  </si>
  <si>
    <t>94970</t>
  </si>
  <si>
    <t>Concreto fck = 20mpa, traço 1:2,7:3 (cimento/ areia média/ brita 1) - preparo mecânico com betoneira 600 l. af_07/2016 /m3</t>
  </si>
  <si>
    <t>34493</t>
  </si>
  <si>
    <t>Concreto usinado bombeavel, classe de resistencia c25, com brita 0 e 1, slump = 100 +/- 20 mm, exclui servico de bombeamento (nbr 8953) /m3</t>
  </si>
  <si>
    <t>90586</t>
  </si>
  <si>
    <t>Vibrador de imersão, diâmetro de ponteira 45mm, motor elétrico trifásico potência de 2 cv - chp diurno. af_06/2015 /chp</t>
  </si>
  <si>
    <t>90587</t>
  </si>
  <si>
    <t>Vibrador de imersão, diâmetro de ponteira 45mm, motor elétrico trifásico potência de 2 cv - chi diurno. af_06/2015 /chi</t>
  </si>
  <si>
    <t>337</t>
  </si>
  <si>
    <t>Arame recozido 18 bwg, 1,25 mm (0,01 kg/m) /kg</t>
  </si>
  <si>
    <t>39017</t>
  </si>
  <si>
    <t>Espacador / distanciador circular com entrada lateral, em plastico, para vergalhao *4,2 a 12,5* mm, cobrimento 20 mm /un</t>
  </si>
  <si>
    <t>92791</t>
  </si>
  <si>
    <t>Corte e dobra de aço ca-60, diâmetro de 5,0 mm, utilizado em estruturas diversas, exceto lajes. af_12/2015 /kg</t>
  </si>
  <si>
    <t>88238</t>
  </si>
  <si>
    <t>Ajudante de armador com encargos complementares /h</t>
  </si>
  <si>
    <t>88245</t>
  </si>
  <si>
    <t>Armador com encargos complementares /h</t>
  </si>
  <si>
    <t>92792</t>
  </si>
  <si>
    <t>Corte e dobra de aço ca-50, diâmetro de 6,3 mm, utilizado em estruturas diversas, exceto lajes. af_12/2015 /kg</t>
  </si>
  <si>
    <t>92794</t>
  </si>
  <si>
    <t>Corte e dobra de aço ca-50, diâmetro de 10,0 mm, utilizado em estruturas diversas, exceto lajes. af_12/2015 /kg</t>
  </si>
  <si>
    <t>94968</t>
  </si>
  <si>
    <t>Concreto magro para lastro, traço 1:4,5:4,5 (cimento/ areia média/ brita 1) - preparo mecânico com betoneira 600 l. af_07/2016 /m3</t>
  </si>
  <si>
    <t>2692</t>
  </si>
  <si>
    <t>Desmoldante protetor para formas de madeira, de base oleosa emulsionada em agua /l</t>
  </si>
  <si>
    <t>40271</t>
  </si>
  <si>
    <t>Locacao de aprumador metalico de pilar, com altura e angulo regulaveis, extensao de *1,50* a *2,80* m /mes</t>
  </si>
  <si>
    <t>40275</t>
  </si>
  <si>
    <t>Locacao de viga sanduiche metalica vazada para travamento de pilares, altura de *8* cm, largura de *6* cm e extensao de 2 m /mes</t>
  </si>
  <si>
    <t>40287</t>
  </si>
  <si>
    <t>Locacao de barra de ancoragem de 0,80 a 1,20 m de extensao, com rosca de 5/8", incluindo porca e flange /mes</t>
  </si>
  <si>
    <t>40304</t>
  </si>
  <si>
    <t>Prego de aco polido com cabeca dupla 17 x 27 (2 1/2 x 11) /kg</t>
  </si>
  <si>
    <t>92264</t>
  </si>
  <si>
    <t>Fabricação de fôrma para pilares e estruturas similares, em chapa de madeira compensada plastificada, e = 18 mm. af_12/2015 /m2</t>
  </si>
  <si>
    <t>1527</t>
  </si>
  <si>
    <t>Concreto usinado bombeavel, classe de resistencia c25, com brita 0 e 1, slump = 100 +/- 20 mm, inclui servico de bombeamento (nbr 8953) /m3</t>
  </si>
  <si>
    <t>92793</t>
  </si>
  <si>
    <t>Corte e dobra de aço ca-50, diâmetro de 8,0 mm, utilizado em estruturas diversas, exceto lajes. af_12/2015 /kg</t>
  </si>
  <si>
    <t>39</t>
  </si>
  <si>
    <t>Aco ca-60, 5,0 mm, vergalhao /kg</t>
  </si>
  <si>
    <t>3743</t>
  </si>
  <si>
    <t>Laje pre-moldada convencional (lajotas + vigotas) para piso, unidirecional, sobrecarga de 200 kg/m2, vao ate 3,50 m (sem colocacao) /m2</t>
  </si>
  <si>
    <t>5061</t>
  </si>
  <si>
    <t>Prego de aco polido com cabeca 18 x 27 (2 1/2 x 10) /kg</t>
  </si>
  <si>
    <t>6189</t>
  </si>
  <si>
    <t>Tabua de madeira nao aparelhada *2,5 x 30* cm, cedrinho ou equivalente da regiao /m</t>
  </si>
  <si>
    <t>92874</t>
  </si>
  <si>
    <t>Lançamento com uso de bomba, adensamento e acabamento de concreto em estruturas. af_12/2015 /m3</t>
  </si>
  <si>
    <t>87294</t>
  </si>
  <si>
    <t>Argamassa traço 1:2:9 (em volume de cimento, cal e areia média úmida) para emboço/massa única/assentamento de alvenaria de vedação, preparo mecânico com betoneira 600 l. af_08/2019 /m3</t>
  </si>
  <si>
    <t>92270</t>
  </si>
  <si>
    <t>Fabricação de fôrma para vigas, com madeira serrada, e = 25 mm. af_12/2015 /m2</t>
  </si>
  <si>
    <t>34557</t>
  </si>
  <si>
    <t>Tela de aco soldada galvanizada/zincada para alvenaria, fio d = *1,20 a 1,70* mm, malha 15 x 15 mm, (c x l) *50 x 7,5* cm /m</t>
  </si>
  <si>
    <t>37395</t>
  </si>
  <si>
    <t>Pino de aco com furo, haste = 27 mm (acao direta) /cento</t>
  </si>
  <si>
    <t>37592</t>
  </si>
  <si>
    <t>Bloco ceramico de vedacao com furos na vertical, 9 x 19 x 39 cm - 4,5 mpa (nbr 15270) /un</t>
  </si>
  <si>
    <t>87292</t>
  </si>
  <si>
    <t>Argamassa traço 1:2:8 (em volume de cimento, cal e areia média úmida) para emboço/massa única/assentamento de alvenaria de vedação, preparo mecânico com betoneira 400 l. af_08/2019 /m3</t>
  </si>
  <si>
    <t>7258</t>
  </si>
  <si>
    <t>Tijolo ceramico macico *5 x 10 x 20* cm /un</t>
  </si>
  <si>
    <t>90802</t>
  </si>
  <si>
    <t>Aduela / marco / batente para porta de 80x210cm, padrão médio - fornecimento e montagem. af_08/2015 /un</t>
  </si>
  <si>
    <t>90817</t>
  </si>
  <si>
    <t>Aduela / marco / batente para porta de 80x210cm, fixação com argamassa - somente instalação. af_08/2015_p /un</t>
  </si>
  <si>
    <t>90822</t>
  </si>
  <si>
    <t>Porta de madeira para pintura, semi-oca (leve ou média), 80x210cm, espessura de 3,5cm, incluso dobradiças - fornecimento e instalação. af_08/2015 /un</t>
  </si>
  <si>
    <t>90828</t>
  </si>
  <si>
    <t>Alizar / guarnição de 5x1,5cm para porta de 80x210cm fixado com pregos, padrão médio - fornecimento e instalação. af_08/2015 /un</t>
  </si>
  <si>
    <t>90830</t>
  </si>
  <si>
    <t>Fechadura de embutir com cilindro, externa, completa, acabamento padrão médio, incluso execução de furo - fornecimento e instalação. af_08/2015 /un</t>
  </si>
  <si>
    <t>90803</t>
  </si>
  <si>
    <t>Aduela / marco / batente para porta de 90x210cm, padrão médio - fornecimento e montagem. af_08/2015 /un</t>
  </si>
  <si>
    <t>90819</t>
  </si>
  <si>
    <t>Aduela / marco / batente para porta de 90x210cm, fixação com argamassa - somente instalação. af_08/2015_p /un</t>
  </si>
  <si>
    <t>90823</t>
  </si>
  <si>
    <t>Porta de madeira para pintura, semi-oca (leve ou média), 90x210cm, espessura de 3,5cm, incluso dobradiças - fornecimento e instalação. af_08/2015 /un</t>
  </si>
  <si>
    <t>90829</t>
  </si>
  <si>
    <t>Alizar / guarnição de 5x1,5cm para porta de 90x210cm fixado com pregos, padrão médio - fornecimento e instalação. af_08/2015 /un</t>
  </si>
  <si>
    <t>90800</t>
  </si>
  <si>
    <t>Aduela / marco / batente para porta de 60x210cm, padrão médio - fornecimento e montagem. af_08/2015 /un</t>
  </si>
  <si>
    <t>90805</t>
  </si>
  <si>
    <t>Aduela / marco / batente para porta de 60x210cm, fixação com argamassa - somente instalação. af_08/2015_p /un</t>
  </si>
  <si>
    <t>90820</t>
  </si>
  <si>
    <t>Porta de madeira para pintura, semi-oca (leve ou média), 60x210cm, espessura de 3,5cm, incluso dobradiças - fornecimento e instalação. af_08/2015 /un</t>
  </si>
  <si>
    <t>90826</t>
  </si>
  <si>
    <t>Alizar / guarnição de 5x1,5cm para porta de 60x210cm fixado com pregos, padrão médio - fornecimento e instalação. af_08/2015 /un</t>
  </si>
  <si>
    <t>90831</t>
  </si>
  <si>
    <t>Fechadura de embutir para porta de banheiro, completa, acabamento padrão médio, incluso execução de furo - fornecimento e instalação. af_08/2015 /un</t>
  </si>
  <si>
    <t>36209</t>
  </si>
  <si>
    <t>12760</t>
  </si>
  <si>
    <t>34713</t>
  </si>
  <si>
    <t>11499</t>
  </si>
  <si>
    <t>Mola hidraulica de piso p/ vidro temperado 10mm /un</t>
  </si>
  <si>
    <t>88325</t>
  </si>
  <si>
    <t>Vidraceiro com encargos complementares /h</t>
  </si>
  <si>
    <t>3104</t>
  </si>
  <si>
    <t>Jogo de ferragens cromadas p/ porta de vidro temperado, uma folha composta: dobradica superior (101) e inferior (103),trinco (502), fechadura (520),contra fechadura (531),com capuchinho /cj</t>
  </si>
  <si>
    <t>88261</t>
  </si>
  <si>
    <t>Carpinteiro de esquadria com encargos complementares /h</t>
  </si>
  <si>
    <t>10498</t>
  </si>
  <si>
    <t>Massa para vidro /kg</t>
  </si>
  <si>
    <t>10507</t>
  </si>
  <si>
    <t>Vidro temperado incolor e = 10 mm, sem colocacao /m2</t>
  </si>
  <si>
    <t>4400</t>
  </si>
  <si>
    <t>Caibro de madeira nao aparelhada *6 x 8* cm, macaranduba, angelim ou equivalente da regiao /m</t>
  </si>
  <si>
    <t>4415</t>
  </si>
  <si>
    <t>Sarrafo de madeira nao aparelhada 2,5 x 5 cm, macaranduba, angelim ou equivalente da regiao /m</t>
  </si>
  <si>
    <t>4425</t>
  </si>
  <si>
    <t>Viga de madeira nao aparelhada 6 x 12 cm, macaranduba, angelim ou equivalente da regiao /m</t>
  </si>
  <si>
    <t>6193</t>
  </si>
  <si>
    <t>Tabua de madeira nao aparelhada *2,5 x 20* cm, cedrinho ou equivalente da regiao /m</t>
  </si>
  <si>
    <t>21142</t>
  </si>
  <si>
    <t>Estribo com parafuso em chapa de ferro fundido de 2" x 3/16" x 35 cm, secao "u", para madeiramento de telhado /un</t>
  </si>
  <si>
    <t>39027</t>
  </si>
  <si>
    <t>Prego de aco polido com cabeca 19 x 36 (3 1/4 x 9) /kg</t>
  </si>
  <si>
    <t>92260</t>
  </si>
  <si>
    <t>Instalação de tesoura (inteira ou meia), biapoiada, em madeira não aparelhada, para vãos maiores ou iguais a 6,0 m e menores que 8,0 m, incluso içamento. af_07/2019 /un</t>
  </si>
  <si>
    <t>40536</t>
  </si>
  <si>
    <t>Perfil "u" enrijecido de aco galvanizado, dobrado, 150 x 60 x 20 mm, e = 3,00 mm /kg</t>
  </si>
  <si>
    <t>40549</t>
  </si>
  <si>
    <t>Parafuso, comum, astm a307, sextavado, diametro 1/2" (12,7 mm), comprimento 1" (25,4 mm) /cento</t>
  </si>
  <si>
    <t>93281</t>
  </si>
  <si>
    <t>Guincho elétrico de coluna, capacidade 400 kg, com moto freio, motor trifásico de 1,25 cv - chp diurno. af_03/2016 /chp</t>
  </si>
  <si>
    <t>93282</t>
  </si>
  <si>
    <t>Guincho elétrico de coluna, capacidade 400 kg, com moto freio, motor trifásico de 1,25 cv - chi diurno. af_03/2016 /chi</t>
  </si>
  <si>
    <t>1607</t>
  </si>
  <si>
    <t>Conjunto arruelas de vedacao 5/16" para telha fibrocimento (uma arruela metalica e uma arruela pvc - conicas) /cj</t>
  </si>
  <si>
    <t>4302</t>
  </si>
  <si>
    <t>Parafuso zincado rosca soberba, cabeca sextavada, 5/16 " x 250 mm, para fixacao de telha em madeira /un</t>
  </si>
  <si>
    <t>7194</t>
  </si>
  <si>
    <t>Telha de fibrocimento ondulada e = 6 mm, de 2,44 x 1,10 m (sem amianto) /m2</t>
  </si>
  <si>
    <t>7219</t>
  </si>
  <si>
    <t>Cumeeira universal para telha ondulada de fibrocimento, e = 6 mm, aba 210 mm, comprimento 1100 mm (sem amianto) /un</t>
  </si>
  <si>
    <t>142</t>
  </si>
  <si>
    <t>Selante elastico monocomponente a base de poliuretano para juntas diversas /310ml</t>
  </si>
  <si>
    <t>5104</t>
  </si>
  <si>
    <t>Rebite de aluminio vazado de repuxo, 3,2 x 8 mm (1kg = 1025 unidades) /kg</t>
  </si>
  <si>
    <t>13388</t>
  </si>
  <si>
    <t>Solda em barra de estanho-chumbo 50/50 /kg</t>
  </si>
  <si>
    <t>40871</t>
  </si>
  <si>
    <t>Calha quadrada de chapa de aco galvanizada num 24, corte 100 cm (coletado caixa) /m</t>
  </si>
  <si>
    <t>40872</t>
  </si>
  <si>
    <t>Rufo interno/externo de chapa de aco galvanizada num 24, corte 25 cm (coletado caixa) /m</t>
  </si>
  <si>
    <t>7319</t>
  </si>
  <si>
    <t>Tinta asfaltica impermeabilizante dispersa em agua, para materiais cimenticios /l</t>
  </si>
  <si>
    <t>87313</t>
  </si>
  <si>
    <t>Argamassa traço 1:3 (em volume de cimento e areia grossa úmida) para chapisco convencional, preparo mecânico com betoneira 400 l. af_08/2019 /m3</t>
  </si>
  <si>
    <t>87325</t>
  </si>
  <si>
    <t>Argamassa traço 1:4 (em volume de cimento e areia grossa úmida) com adição de emulsão polimérica para chapisco rolado, preparo mecânico com betoneira 400 l. af_08/2019 /m3</t>
  </si>
  <si>
    <t>87527</t>
  </si>
  <si>
    <t>Emboço, para recebimento de cerâmica, em argamassa traço 1:2:8, preparo mecânico com betoneira 400l, aplicado manualmente em faces internas de paredes, para ambiente com área menor que 5m2, espessura de 20mm, com execução de taliscas. af_06/2014 /m2</t>
  </si>
  <si>
    <t>87529</t>
  </si>
  <si>
    <t>Massa única, para recebimento de pintura, em argamassa traço 1:2:8, preparo mecânico com betoneira 400l, aplicada manualmente em faces internas de paredes, espessura de 20mm, com execução de taliscas. af_06/2014 /m2</t>
  </si>
  <si>
    <t>87531</t>
  </si>
  <si>
    <t>Emboço, para recebimento de cerâmica, em argamassa traço 1:2:8, preparo mecânico com betoneira 400l, aplicado manualmente em faces internas de paredes, para ambiente com área entre 5m2 e 10m2, espessura de 20mm, com execução de taliscas. af_06/2014 /m2</t>
  </si>
  <si>
    <t>536</t>
  </si>
  <si>
    <t>Revestimento em ceramica esmaltada extra, pei menor ou igual a 3, formato menor ou igual a 2025 cm2 /m2</t>
  </si>
  <si>
    <t>1381</t>
  </si>
  <si>
    <t>Argamassa colante ac i para ceramicas /kg</t>
  </si>
  <si>
    <t>34357</t>
  </si>
  <si>
    <t>Rejunte colorido, cimenticio /kg</t>
  </si>
  <si>
    <t>87301</t>
  </si>
  <si>
    <t>Argamassa traço 1:4 (em volume de cimento e areia média úmida) para contrapiso, preparo mecânico com betoneira 400 l. af_08/2019 /m3</t>
  </si>
  <si>
    <t>1292</t>
  </si>
  <si>
    <t>Piso em ceramica esmaltada extra, pei maior ou igual a 4, formato maior que 2025 cm2 /m2</t>
  </si>
  <si>
    <t>4460</t>
  </si>
  <si>
    <t>Sarrafo de madeira nao aparelhada *2,5 x 10 cm, macaranduba, angelim ou equivalente da regiao /m</t>
  </si>
  <si>
    <t>4517</t>
  </si>
  <si>
    <t>Sarrafo de madeira nao aparelhada *2,5 x 7,5* cm (1 x 3 ") pinus, mista ou equivalente da regiao /m</t>
  </si>
  <si>
    <t>94964</t>
  </si>
  <si>
    <t>Concreto fck = 20mpa, traço 1:2,7:3 (cimento/ areia média/ brita 1) - preparo mecânico com betoneira 400 l. af_07/2016 /m3</t>
  </si>
  <si>
    <t>7345</t>
  </si>
  <si>
    <t>Tinta latex pva premium, cor branca /l</t>
  </si>
  <si>
    <t>88310</t>
  </si>
  <si>
    <t>Pintor com encargos complementares /h</t>
  </si>
  <si>
    <t>3767</t>
  </si>
  <si>
    <t>Lixa em folha para parede ou madeira, numero 120 (cor vermelha) /un</t>
  </si>
  <si>
    <t>5318</t>
  </si>
  <si>
    <t>Solvente diluente a base de aguarras /l</t>
  </si>
  <si>
    <t>6086</t>
  </si>
  <si>
    <t>Fundo sintetico nivelador branco fosco para madeira /gl</t>
  </si>
  <si>
    <t>7311</t>
  </si>
  <si>
    <t>Tinta esmalte sintetico premium acetinado /l</t>
  </si>
  <si>
    <t>4056</t>
  </si>
  <si>
    <t>Massa acrilica para paredes interior/exterior /gl</t>
  </si>
  <si>
    <t>38877</t>
  </si>
  <si>
    <t>Massa para textura lisa de base acrilica, uso interno e externo /kg</t>
  </si>
  <si>
    <t>9868</t>
  </si>
  <si>
    <t>Tubo pvc, soldavel, dn 25 mm, agua fria (nbr-5648) /m</t>
  </si>
  <si>
    <t>88248</t>
  </si>
  <si>
    <t>Auxiliar de encanador ou bombeiro hidráulico com encargos complementares /h</t>
  </si>
  <si>
    <t>88267</t>
  </si>
  <si>
    <t>Encanador ou bombeiro hidráulico com encargos complementares /h</t>
  </si>
  <si>
    <t>9874</t>
  </si>
  <si>
    <t>Tubo pvc, soldavel, dn 40 mm, agua fria (nbr-5648) /m</t>
  </si>
  <si>
    <t>38383</t>
  </si>
  <si>
    <t>Lixa d'agua em folha, grao 100 /un</t>
  </si>
  <si>
    <t>122</t>
  </si>
  <si>
    <t>Adesivo plastico para pvc, frasco com 850 gr /un</t>
  </si>
  <si>
    <t>3500</t>
  </si>
  <si>
    <t>Joelho, pvc soldavel, 45 graus, 25 mm, para agua fria predial /un</t>
  </si>
  <si>
    <t>20083</t>
  </si>
  <si>
    <t>Solucao limpadora para pvc, frasco com 1000 cm3 /un</t>
  </si>
  <si>
    <t>3529</t>
  </si>
  <si>
    <t>Joelho pvc, soldavel, 90 graus, 25 mm, para agua fria predial /un</t>
  </si>
  <si>
    <t>3535</t>
  </si>
  <si>
    <t>Joelho pvc, soldavel, 90 graus, 40 mm, para agua fria predial /un</t>
  </si>
  <si>
    <t>7139</t>
  </si>
  <si>
    <t>Te soldavel, pvc, 90 graus, 25 mm, para agua fria predial (nbr 5648) /un</t>
  </si>
  <si>
    <t>7141</t>
  </si>
  <si>
    <t>Te soldavel, pvc, 90 graus, 40 mm, para agua fria predial (nbr 5648) /un</t>
  </si>
  <si>
    <t>20147</t>
  </si>
  <si>
    <t>Joelho pvc, soldavel, com bucha de latao, 90 graus, 25 mm x 1/2", para agua fria predial /un</t>
  </si>
  <si>
    <t>3148</t>
  </si>
  <si>
    <t>Fita veda rosca em rolos de 18 mm x 50 m (l x c) /un</t>
  </si>
  <si>
    <t>6016</t>
  </si>
  <si>
    <t>Registro gaveta bruto em latao forjado, bitola 3/4 " (ref 1509) /un</t>
  </si>
  <si>
    <t>11825</t>
  </si>
  <si>
    <t>Torneira de boia convencional para caixa d'agua, 1", com haste e torneira metalicos e balao plastico /un</t>
  </si>
  <si>
    <t>96</t>
  </si>
  <si>
    <t>Adaptador pvc soldavel, com flange e anel de vedacao, 25 mm x 3/4", para caixa d'agua /un</t>
  </si>
  <si>
    <t>20080</t>
  </si>
  <si>
    <t>Adesivo plastico para pvc, frasco com 175 gr /un</t>
  </si>
  <si>
    <t>37106</t>
  </si>
  <si>
    <t>9835</t>
  </si>
  <si>
    <t>Tubo pvc serie normal, dn 40 mm, para esgoto predial (nbr 5688) /m</t>
  </si>
  <si>
    <t>9838</t>
  </si>
  <si>
    <t>Tubo pvc serie normal, dn 50 mm, para esgoto predial (nbr 5688) /m</t>
  </si>
  <si>
    <t>9836</t>
  </si>
  <si>
    <t>Tubo pvc serie normal, dn 100 mm, para esgoto predial (nbr 5688) /m</t>
  </si>
  <si>
    <t>3516</t>
  </si>
  <si>
    <t>Joelho pvc, soldavel, bb, 45 graus, dn 40 mm, para esgoto predial /un</t>
  </si>
  <si>
    <t>301</t>
  </si>
  <si>
    <t>Anel borracha para tubo esgoto predial, dn 100 mm (nbr 5688) /un</t>
  </si>
  <si>
    <t>3528</t>
  </si>
  <si>
    <t>Joelho pvc, soldavel, pb, 45 graus, dn 100 mm, para esgoto predial /un</t>
  </si>
  <si>
    <t>20078</t>
  </si>
  <si>
    <t>Pasta lubrificante para tubos e conexoes com junta elastica (uso em pvc, aco, polietileno e outros) ( de *400* g) /un</t>
  </si>
  <si>
    <t>3517</t>
  </si>
  <si>
    <t>Joelho pvc, soldavel, bb, 90 graus, dn 40 mm, para esgoto predial /un</t>
  </si>
  <si>
    <t>296</t>
  </si>
  <si>
    <t>Anel borracha para tubo esgoto predial dn 50 mm (nbr 5688) /un</t>
  </si>
  <si>
    <t>3518</t>
  </si>
  <si>
    <t>Joelho pvc, soldavel, pb, 45 graus, dn 50 mm, para esgoto predial /un</t>
  </si>
  <si>
    <t>1932</t>
  </si>
  <si>
    <t>Curva pvc curta 90 g, dn 50 mm, para esgoto predial /un</t>
  </si>
  <si>
    <t>3520</t>
  </si>
  <si>
    <t>Joelho pvc, soldavel, pb, 90 graus, dn 100 mm, para esgoto predial /un</t>
  </si>
  <si>
    <t>20144</t>
  </si>
  <si>
    <t>Juncao simples, pvc serie r, dn 100 x 100 mm, para esgoto predial /un</t>
  </si>
  <si>
    <t>297</t>
  </si>
  <si>
    <t>Anel borracha para tubo esgoto predial dn 75 mm (nbr 5688) /un</t>
  </si>
  <si>
    <t>3658</t>
  </si>
  <si>
    <t>Juncao simples, pvc, dn 75 x 75 mm, serie normal para esgoto predial /un</t>
  </si>
  <si>
    <t>40347</t>
  </si>
  <si>
    <t>5103</t>
  </si>
  <si>
    <t>Caixa sifonada pvc, 100 x 100 x 50 mm, com grelha redonda branca /un</t>
  </si>
  <si>
    <t>370</t>
  </si>
  <si>
    <t>Areia media - posto jazida/fornecedor (retirado na jazida, sem transporte) /m3</t>
  </si>
  <si>
    <t>1379</t>
  </si>
  <si>
    <t>Cimento portland composto cp ii-32 /kg</t>
  </si>
  <si>
    <t>3279</t>
  </si>
  <si>
    <t>Caixa inspecao, concreto pre moldado, circular, com tampa, d = 60* cm, h= 60* cm /un</t>
  </si>
  <si>
    <t>11739</t>
  </si>
  <si>
    <t>Ralo seco pvc conico, 100 x 40 mm, com grelha redonda branca /un</t>
  </si>
  <si>
    <t>4384</t>
  </si>
  <si>
    <t>Parafuso niquelado com acabamento cromado para fixar peca sanitaria, inclui porca cega, arruela e bucha de nylon tamanho s-10 /un</t>
  </si>
  <si>
    <t>6138</t>
  </si>
  <si>
    <t>Vedacao pvc, 100 mm, para saida vaso sanitario /un</t>
  </si>
  <si>
    <t>10422</t>
  </si>
  <si>
    <t>Bacia sanitaria (vaso) com caixa acoplada, de louca branca /un</t>
  </si>
  <si>
    <t>37329</t>
  </si>
  <si>
    <t>Rejunte epoxi branco /kg</t>
  </si>
  <si>
    <t>86878</t>
  </si>
  <si>
    <t>Válvula em metal cromado tipo americana 3.1/2" x 1.1/2" para pia - fornecimento e instalação. af_12/2013 /un</t>
  </si>
  <si>
    <t>86881</t>
  </si>
  <si>
    <t>Sifão do tipo garrafa em metal cromado 1 x 1.1/2" - fornecimento e instalação. af_12/2013 /un</t>
  </si>
  <si>
    <t>86900</t>
  </si>
  <si>
    <t>Cuba de embutir de aço inoxidável média - fornecimento e instalação. af_12/2013 /un</t>
  </si>
  <si>
    <t>86879</t>
  </si>
  <si>
    <t>Válvula em plástico 1" para pia, tanque ou lavatório, com ou sem ladrão - fornecimento e instalação. af_12/2013 /un</t>
  </si>
  <si>
    <t>86882</t>
  </si>
  <si>
    <t>Sifão do tipo garrafa/copo em pvc 1.1/4 x 1.1/2" - fornecimento e instalação. af_12/2013 /un</t>
  </si>
  <si>
    <t>86884</t>
  </si>
  <si>
    <t>Engate flexível em plástico branco, 1/2" x 30cm - fornecimento e instalação. af_12/2013 /un</t>
  </si>
  <si>
    <t>86904</t>
  </si>
  <si>
    <t>Lavatório louça branca suspenso, 29,5 x 39cm ou equivalente, padrão popular - fornecimento e instalação. af_12/2013 /un</t>
  </si>
  <si>
    <t>86906</t>
  </si>
  <si>
    <t>Torneira cromada de mesa, 1/2" ou 3/4", para lavatório, padrão popular - fornecimento e instalação. af_12/2013 /un</t>
  </si>
  <si>
    <t>3146</t>
  </si>
  <si>
    <t>Fita veda rosca em rolos de 18 mm x 10 m (l x c) /un</t>
  </si>
  <si>
    <t>11772</t>
  </si>
  <si>
    <t>Torneira cromada de mesa para cozinha bica movel com arejador 1/2 " ou 3/4 " (ref 1167) /un</t>
  </si>
  <si>
    <t>13415</t>
  </si>
  <si>
    <t>Torneira cromada de mesa para lavatorio, padrao popular, 1/2 " ou 3/4 " (ref 1193) /un</t>
  </si>
  <si>
    <t>11703</t>
  </si>
  <si>
    <t>377</t>
  </si>
  <si>
    <t>4350</t>
  </si>
  <si>
    <t>Bucha de nylon, diametro do furo 8 mm, comprimento 40 mm, com parafuso de rosca soberba, cabeca chata, fenda simples, 4,8 x 50 mm /un</t>
  </si>
  <si>
    <t>10891</t>
  </si>
  <si>
    <t>Extintor de incendio portatil com carga de po quimico seco (pqs) de 4 kg, classe bc /un</t>
  </si>
  <si>
    <t>10889</t>
  </si>
  <si>
    <t>Extintor de incendio portatil com carga de gas carbonico co2 de 6 kg, classe bc /un</t>
  </si>
  <si>
    <t>38774</t>
  </si>
  <si>
    <t>10851</t>
  </si>
  <si>
    <t>12039</t>
  </si>
  <si>
    <t>Quadro de distribuicao com barramento trifasico, de embutir, em chapa de aco galvanizado, para 24 disjuntores din, 100 a /un</t>
  </si>
  <si>
    <t>88247</t>
  </si>
  <si>
    <t>Auxiliar de eletricista com encargos complementares /h</t>
  </si>
  <si>
    <t>88264</t>
  </si>
  <si>
    <t>Eletricista com encargos complementares /h</t>
  </si>
  <si>
    <t>2370</t>
  </si>
  <si>
    <t>Disjuntor tipo nema, monopolar 10 ate 30a, tensao maxima de 240 v /un</t>
  </si>
  <si>
    <t>2388</t>
  </si>
  <si>
    <t>Disjuntor tipo nema, bipolar 10 ate 50 a, tensao maxima 415 v /un</t>
  </si>
  <si>
    <t>2688</t>
  </si>
  <si>
    <t>Eletroduto pvc flexivel corrugado, cor amarela, de 25 mm /m</t>
  </si>
  <si>
    <t>91946</t>
  </si>
  <si>
    <t>38094</t>
  </si>
  <si>
    <t>Espelho / placa de 3 postos 4" x 2", para instalacao de tomadas e interruptores /un</t>
  </si>
  <si>
    <t>38099</t>
  </si>
  <si>
    <t>Suporte de fixacao para espelho / placa 4" x 2", para 3 modulos, para instalacao de tomadas e interruptores (somente suporte) /un</t>
  </si>
  <si>
    <t>20111</t>
  </si>
  <si>
    <t>1014</t>
  </si>
  <si>
    <t>Cabo de cobre, flexivel, classe 4 ou 5, isolacao em pvc/a, antichama bwf-b, 1 condutor, 450/750 v, secao nominal 2,5 mm2 /m</t>
  </si>
  <si>
    <t>21127</t>
  </si>
  <si>
    <t>Fita isolante adesiva antichama, uso ate 750 v, em rolo de 19 mm x 5 m /un</t>
  </si>
  <si>
    <t>980</t>
  </si>
  <si>
    <t>Cabo de cobre, flexivel, classe 4 ou 5, isolacao em pvc/a, antichama bwf-b, 1 condutor, 450/750 v, secao nominal 10 mm2 /m</t>
  </si>
  <si>
    <t>1013</t>
  </si>
  <si>
    <t>Cabo de cobre, flexivel, classe 4 ou 5, isolacao em pvc/a, antichama bwf-b, 1 condutor, 450/750 v, secao nominal 1,5 mm2 /m</t>
  </si>
  <si>
    <t>982</t>
  </si>
  <si>
    <t>Cabo de cobre, flexivel, classe 4 ou 5, isolacao em pvc/a, antichama bwf-b, 1 condutor, 450/750 v, secao nominal 6 mm2 /m</t>
  </si>
  <si>
    <t>Suporte parafusado com placa de encaixe 4" x 2" médio (1,30 m do piso) para ponto elétrico - fornecimento e instalação. af_12/2015 /un</t>
  </si>
  <si>
    <t>91998</t>
  </si>
  <si>
    <t>Tomada baixa de embutir (1 módulo), 2p+t 10 a, sem suporte e sem placa - fornecimento e instalação. af_12/2015 /un</t>
  </si>
  <si>
    <t>91952</t>
  </si>
  <si>
    <t>Interruptor simples (1 módulo), 10a/250v, sem suporte e sem placa - fornecimento e instalação. af_12/2015 /un</t>
  </si>
  <si>
    <t>3799</t>
  </si>
  <si>
    <t>Luminaria de sobrepor em chapa de aco para 2 lampadas fluorescentes de *36* w, aletada, completa (lampadas e reator inclusos) /un</t>
  </si>
  <si>
    <t>3398</t>
  </si>
  <si>
    <t>587</t>
  </si>
  <si>
    <t>Cantoneira aluminio abas desiguais 1" x 3/4 ", e = 1/8 " /kg</t>
  </si>
  <si>
    <t>1360</t>
  </si>
  <si>
    <t>Chapa de madeira compensada naval (com cola fenolica), e = 6 mm, de *1,60 x 2,20* m /m2</t>
  </si>
  <si>
    <t>7334</t>
  </si>
  <si>
    <t>Aditivo adesivo liquido para argamassas de revestimentos cimenticios /l</t>
  </si>
  <si>
    <t>11186</t>
  </si>
  <si>
    <t>Espelho cristal e = 4 mm /m2</t>
  </si>
  <si>
    <t>Cotação</t>
  </si>
  <si>
    <t>Consumo de agua e esgoto (mensal acima de 10 m3) - 15 m3/mês /m3</t>
  </si>
  <si>
    <t>Consumo de energia - 120 kw/mês /kw</t>
  </si>
  <si>
    <t>Areia para aterro - posto jazida/fornecedor (retirado na jazida, sem transporte) /m3</t>
  </si>
  <si>
    <t>Barra de apoio em "l", em aco inox polido 80 x 80 cm, diametro minimo 3 cm /un</t>
  </si>
  <si>
    <t>Chapa aco inox aisi 304 numero 4 (e = 6 mm), acabamento numero 1 (laminado a quente, fosco) /m2</t>
  </si>
  <si>
    <t>Porta vidro temperado incolor, 2 folhas de correr, e = 10 mm (sem ferragens e sem colocacao) /m2</t>
  </si>
  <si>
    <t>Caixa d'agua fibra de vidro para 10000 litros, com tampa /un</t>
  </si>
  <si>
    <t>Anel de vedacao/junta elastica, h = *21* mm, para tubo de concreto dn 1000 mm /un</t>
  </si>
  <si>
    <t>Papeleira de parede em metal cromado sem tampa /un</t>
  </si>
  <si>
    <t>Assento sanitario de plastico, tipo convencional /un</t>
  </si>
  <si>
    <t>Luminaria de emergencia 30 leds, potencia 2 w, bateria de litio, autonomia de 6 horas /un</t>
  </si>
  <si>
    <t>Placa de acrilico transparente adesivada para sinalizacao de portas, borda polida, de *25 x 8*, e = 6 mm (nao inclui acessorios para fixacao) /un</t>
  </si>
  <si>
    <t>Fita isolante adesiva antichama, uso ate 750 v, em rolo de 19 mm x 20 m /un</t>
  </si>
  <si>
    <t>Isolador de porcelana, tipo roldana, dimensoes de *72* x *72* mm, para uso em baixa tensao /un</t>
  </si>
  <si>
    <t>1.1
74209/001</t>
  </si>
  <si>
    <t>1.2
Item 3.07</t>
  </si>
  <si>
    <t>1.3
Item 3.08</t>
  </si>
  <si>
    <t>1.4
93584</t>
  </si>
  <si>
    <t>1.5
99059</t>
  </si>
  <si>
    <t>2.1
97627</t>
  </si>
  <si>
    <t>2.2
97622</t>
  </si>
  <si>
    <t>2.3
97640</t>
  </si>
  <si>
    <t>2.4
97634</t>
  </si>
  <si>
    <t>2.5
97647</t>
  </si>
  <si>
    <t>2.6
72899</t>
  </si>
  <si>
    <t>3.1
368</t>
  </si>
  <si>
    <t>3.2
97912</t>
  </si>
  <si>
    <t>3.3
93358</t>
  </si>
  <si>
    <t>3.4
94098</t>
  </si>
  <si>
    <t>3.5
93360</t>
  </si>
  <si>
    <t>4.1.1
98230</t>
  </si>
  <si>
    <t>4.1.2
92718</t>
  </si>
  <si>
    <t>4.1.3
92759</t>
  </si>
  <si>
    <t>4.1.4
96544</t>
  </si>
  <si>
    <t>4.1.5
96546</t>
  </si>
  <si>
    <t>4.1.6
95241</t>
  </si>
  <si>
    <t>4.1.7
92430</t>
  </si>
  <si>
    <t>4.1.8
92720</t>
  </si>
  <si>
    <t>4.1.9
92873</t>
  </si>
  <si>
    <t>4.1.10
95241</t>
  </si>
  <si>
    <t>4.1.11
92430</t>
  </si>
  <si>
    <t>4.1.12
92917</t>
  </si>
  <si>
    <t>4.1.13
92915</t>
  </si>
  <si>
    <t>4.1.14
96546</t>
  </si>
  <si>
    <t>4.1.15
92720</t>
  </si>
  <si>
    <t>4.1.16
92873</t>
  </si>
  <si>
    <t>5.1.1
92430</t>
  </si>
  <si>
    <t>5.1.2
92919</t>
  </si>
  <si>
    <t>5.1.3
92915</t>
  </si>
  <si>
    <t>5.1.4
92720</t>
  </si>
  <si>
    <t>5.1.5
92873</t>
  </si>
  <si>
    <t>5.2.1
92430</t>
  </si>
  <si>
    <t>5.2.2
92916</t>
  </si>
  <si>
    <t>5.2.3
92917</t>
  </si>
  <si>
    <t>5.2.4
92915</t>
  </si>
  <si>
    <t>5.2.5
92720</t>
  </si>
  <si>
    <t>5.2.6
92873</t>
  </si>
  <si>
    <t>5.3.1
74202/002</t>
  </si>
  <si>
    <t>5.4.1
93183</t>
  </si>
  <si>
    <t>5.1.1
87477</t>
  </si>
  <si>
    <t>5.1.2
93202</t>
  </si>
  <si>
    <t>6.1.1
90843</t>
  </si>
  <si>
    <t>6.1.2
90844</t>
  </si>
  <si>
    <t>6.1.3
90841</t>
  </si>
  <si>
    <t>6.2.1
36209</t>
  </si>
  <si>
    <t>6.2.2
12760</t>
  </si>
  <si>
    <t>6.3.1
34713</t>
  </si>
  <si>
    <t>6.3.2
84886</t>
  </si>
  <si>
    <t>6.3.3
84885</t>
  </si>
  <si>
    <t>6.4.1
74125/2</t>
  </si>
  <si>
    <t>6.4.2
72120</t>
  </si>
  <si>
    <t>7.1
92549</t>
  </si>
  <si>
    <t>7.2
92580</t>
  </si>
  <si>
    <t>7.3
94210</t>
  </si>
  <si>
    <t>7.4
94223</t>
  </si>
  <si>
    <t>7.5
94229</t>
  </si>
  <si>
    <t>7.6
94231</t>
  </si>
  <si>
    <t>8.1
74106/001</t>
  </si>
  <si>
    <t>9.1
87879</t>
  </si>
  <si>
    <t>9.2
87882</t>
  </si>
  <si>
    <t>9.3
89173</t>
  </si>
  <si>
    <t>9.4
90406</t>
  </si>
  <si>
    <t>9.5
87275</t>
  </si>
  <si>
    <t>10.1.1
87690</t>
  </si>
  <si>
    <t>10.1.2
87257</t>
  </si>
  <si>
    <t>10.1.3
87257</t>
  </si>
  <si>
    <t>10.2.1
94990</t>
  </si>
  <si>
    <t>11.1
88486</t>
  </si>
  <si>
    <t>11.2
88489</t>
  </si>
  <si>
    <t>11.3
74065/002</t>
  </si>
  <si>
    <t>11.4
96126</t>
  </si>
  <si>
    <t>11.5
95305</t>
  </si>
  <si>
    <t>12.1.1
89446</t>
  </si>
  <si>
    <t>12.1.2
89448</t>
  </si>
  <si>
    <t>12.1.3
89485</t>
  </si>
  <si>
    <t>12.1.4
89481</t>
  </si>
  <si>
    <t>12.1.5
89497</t>
  </si>
  <si>
    <t>12.1.6
89617</t>
  </si>
  <si>
    <t>12.1.7
89623</t>
  </si>
  <si>
    <t>12.1.8
89485</t>
  </si>
  <si>
    <t>12.1.9
90373</t>
  </si>
  <si>
    <t>12.2.1
89353</t>
  </si>
  <si>
    <t>12.2.2
89353</t>
  </si>
  <si>
    <t>12.2.3
94797</t>
  </si>
  <si>
    <t>12.2.4
94703</t>
  </si>
  <si>
    <t>12.2.5
94703</t>
  </si>
  <si>
    <t>12.2.6
37106</t>
  </si>
  <si>
    <t>12.2.7
122</t>
  </si>
  <si>
    <t>12.2.8
20083</t>
  </si>
  <si>
    <t>12.2.9
38383</t>
  </si>
  <si>
    <t>12.2.10
3148</t>
  </si>
  <si>
    <t>13.1.1
89711</t>
  </si>
  <si>
    <t>13.1.2
89712</t>
  </si>
  <si>
    <t>13.1.3
89714</t>
  </si>
  <si>
    <t>13.1.4
89726</t>
  </si>
  <si>
    <t>13.1.5
89746</t>
  </si>
  <si>
    <t>13.1.6
89724</t>
  </si>
  <si>
    <t>13.1.7
89732</t>
  </si>
  <si>
    <t>13.1.8
89733</t>
  </si>
  <si>
    <t>13.1.9
89744</t>
  </si>
  <si>
    <t>13.1.10
89690</t>
  </si>
  <si>
    <t>13.1.11
89830</t>
  </si>
  <si>
    <t>13.1.12
40347</t>
  </si>
  <si>
    <t>13.2.1
89707</t>
  </si>
  <si>
    <t>13.2.2
74166/001</t>
  </si>
  <si>
    <t>13.2.3
89710</t>
  </si>
  <si>
    <t>14.1
86888</t>
  </si>
  <si>
    <t>14.3
86936</t>
  </si>
  <si>
    <t>14.4
86942</t>
  </si>
  <si>
    <t>14.5
86909</t>
  </si>
  <si>
    <t>14.6
86906</t>
  </si>
  <si>
    <t>14.7
11703</t>
  </si>
  <si>
    <t>14.8
377</t>
  </si>
  <si>
    <t>15.1
72553</t>
  </si>
  <si>
    <t>15.2
72554</t>
  </si>
  <si>
    <t>15.3
38774</t>
  </si>
  <si>
    <t>15.4
10851</t>
  </si>
  <si>
    <t>15.5
10851</t>
  </si>
  <si>
    <t>16.1.1
74131/005</t>
  </si>
  <si>
    <t>16.1.2
74130/001</t>
  </si>
  <si>
    <t>16.1.3
74130/001</t>
  </si>
  <si>
    <t>16.1.4
74130/003</t>
  </si>
  <si>
    <t>16.1.5
74130/003</t>
  </si>
  <si>
    <t>16.2.1
91854</t>
  </si>
  <si>
    <t>16.2.2
91946</t>
  </si>
  <si>
    <t>16.2.3
20111</t>
  </si>
  <si>
    <t>16.3.1
91926</t>
  </si>
  <si>
    <t>16.3.2
91926</t>
  </si>
  <si>
    <t>16.3.4
91932</t>
  </si>
  <si>
    <t>16.3.5
91932</t>
  </si>
  <si>
    <t>16.3.6
91924</t>
  </si>
  <si>
    <t>16.3.7
91924</t>
  </si>
  <si>
    <t>16.3.8
91930</t>
  </si>
  <si>
    <t>16.3.9
91930</t>
  </si>
  <si>
    <t>16.4.1
92000</t>
  </si>
  <si>
    <t>16.4.2
91953</t>
  </si>
  <si>
    <t>16.4.3
97586</t>
  </si>
  <si>
    <t>16.4.4
3398</t>
  </si>
  <si>
    <t>17.1
99803</t>
  </si>
  <si>
    <t>Empresa: BML COMÉRCIO E SERVIÇOS EIRELI-ME</t>
  </si>
  <si>
    <t>CNPJ: 15.450.813/0001-50</t>
  </si>
  <si>
    <t>Licitação: TOMADA DE PREÇOS Nº 004/2020</t>
  </si>
  <si>
    <t>Objeto: execução de obra para construção da Unidade Básica de Saúde de Corguinho/MS</t>
  </si>
  <si>
    <t>MIN</t>
  </si>
  <si>
    <t>MED</t>
  </si>
  <si>
    <t>MAX</t>
  </si>
  <si>
    <t>Grau de Sigilo</t>
  </si>
  <si>
    <t>Construção e Reforma de Edifícios</t>
  </si>
  <si>
    <t>AC</t>
  </si>
  <si>
    <t>#PUBLICO</t>
  </si>
  <si>
    <t>SG</t>
  </si>
  <si>
    <t>R</t>
  </si>
  <si>
    <t>Nº TC/CR</t>
  </si>
  <si>
    <t>PROPONENTE / TOMADOR</t>
  </si>
  <si>
    <t>DF</t>
  </si>
  <si>
    <t>PREFEITURA MUNICIPAL DE CORGUINHO</t>
  </si>
  <si>
    <t>L</t>
  </si>
  <si>
    <t>BDI PAD</t>
  </si>
  <si>
    <t>OBJETO</t>
  </si>
  <si>
    <t>Construção de Praças Urbanas, Rodovias, Ferrovias e recapeamento e pavimentação de vias urbanas</t>
  </si>
  <si>
    <t>CONSTRUÇÃO DE UNIDADE BÁSICA DE SAÚDE</t>
  </si>
  <si>
    <t>TIPO DE OBRA DO EMPREENDIMENTO</t>
  </si>
  <si>
    <t>DESONERAÇÃO</t>
  </si>
  <si>
    <t>Sim</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</si>
  <si>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</si>
  <si>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</si>
  <si>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</si>
  <si>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</si>
  <si>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</si>
  <si>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</si>
  <si>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</si>
  <si>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Intervalo de admissibilidade</t>
  </si>
  <si>
    <t>1º Quartil</t>
  </si>
  <si>
    <t>Médio</t>
  </si>
  <si>
    <t>3º Quartil</t>
  </si>
  <si>
    <t>-</t>
  </si>
  <si>
    <t>Construção e Manutenção de Estações e Redes de Distribuição de Energia Elétrica</t>
  </si>
  <si>
    <t>Tributos (impostos COFINS 3%, e  PIS 0,65%)</t>
  </si>
  <si>
    <t>CP</t>
  </si>
  <si>
    <t>Tributos (ISS, variável de acordo com o município)</t>
  </si>
  <si>
    <t>ISS</t>
  </si>
  <si>
    <t>Tributos (Contribuição Previdenciária - 0% ou 4,5%, conforme Lei 12.844/2013 - Desoneração)</t>
  </si>
  <si>
    <t>CPRB</t>
  </si>
  <si>
    <t>BDI SEM desoneração
(Fórmula Acórdão TCU)</t>
  </si>
  <si>
    <t>Obras Portuárias, Marítimas e Fluviais</t>
  </si>
  <si>
    <t>BDI COM desoneração</t>
  </si>
  <si>
    <t>BDI DES</t>
  </si>
  <si>
    <t>Os valores de BDI foram calculados com o emprego da fórmula:</t>
  </si>
  <si>
    <t xml:space="preserve"> - 1</t>
  </si>
  <si>
    <t>Fornecimento de Materiais e Equipamentos</t>
  </si>
  <si>
    <t>Local:</t>
  </si>
  <si>
    <t>Data:</t>
  </si>
  <si>
    <t>CORGUINHO</t>
  </si>
  <si>
    <t>Responsável Técnico</t>
  </si>
  <si>
    <t>Responsável Tomador</t>
  </si>
  <si>
    <t>Nome:</t>
  </si>
  <si>
    <t>Estudos e Projetos, Planos e Gerenciamento e outros correlatos</t>
  </si>
  <si>
    <t>K1</t>
  </si>
  <si>
    <t>Título:</t>
  </si>
  <si>
    <t>Cargo:</t>
  </si>
  <si>
    <t>K2</t>
  </si>
  <si>
    <t>CREA/CAU:</t>
  </si>
  <si>
    <t/>
  </si>
  <si>
    <t>K3</t>
  </si>
  <si>
    <t>BDI = 28,82%</t>
  </si>
  <si>
    <t>Data de preço: Abril/2021 - Com Desoneração</t>
  </si>
  <si>
    <t>Obra: Construção da UBS</t>
  </si>
  <si>
    <r>
      <t>Endereço</t>
    </r>
    <r>
      <rPr>
        <sz val="10"/>
        <rFont val="Arial"/>
        <family val="2"/>
      </rPr>
      <t>: Assentamento Torre de Pedra</t>
    </r>
  </si>
  <si>
    <t>DATA BASE - ABRIL/2021 - COM DESONERAÇÃO</t>
  </si>
  <si>
    <t>ENCARGOS SOCIAIS DESONERADOS: 83,00%(HORA) 46,50%(MÊS)</t>
  </si>
  <si>
    <t>Item</t>
  </si>
  <si>
    <t>Código</t>
  </si>
  <si>
    <t>Fonte</t>
  </si>
  <si>
    <t>Descrição</t>
  </si>
  <si>
    <t>Comprimento</t>
  </si>
  <si>
    <t>Altura</t>
  </si>
  <si>
    <t>Área</t>
  </si>
  <si>
    <t>Media de consumo mês, sendo 15m³ por mês, prazo estimado de 4 meses</t>
  </si>
  <si>
    <t>Consumo</t>
  </si>
  <si>
    <t>Prazo</t>
  </si>
  <si>
    <t>meses</t>
  </si>
  <si>
    <t>Total</t>
  </si>
  <si>
    <t>Media de consumo mês, sendo 500 kw por mês, prazo estimado de 4 meses</t>
  </si>
  <si>
    <t>kw</t>
  </si>
  <si>
    <t>Área de Projeto</t>
  </si>
  <si>
    <t>Volume</t>
  </si>
  <si>
    <t>DMT X Empolamento</t>
  </si>
  <si>
    <t>kmxm³</t>
  </si>
  <si>
    <t xml:space="preserve">km </t>
  </si>
  <si>
    <t>Comprimento Baldrame</t>
  </si>
  <si>
    <t>Largura</t>
  </si>
  <si>
    <t xml:space="preserve">Barracão provisório para depósito </t>
  </si>
  <si>
    <t>Quantidade de Estacas</t>
  </si>
  <si>
    <t>Profundidade</t>
  </si>
  <si>
    <t>Concretagem de blocos, Fck = 25 MPA, com uso de baldes em edificações com seção média de pilares menor ou igual a 0,25 m2 - lançamento, adensamento e acabamento</t>
  </si>
  <si>
    <t>Quantidade de Blocos</t>
  </si>
  <si>
    <t>Total Blocos e Baldrames</t>
  </si>
  <si>
    <t>Comprimento Longitudinal x 3</t>
  </si>
  <si>
    <t>Comprimento Tranversal x 3</t>
  </si>
  <si>
    <t>Peso/kg</t>
  </si>
  <si>
    <t>Peso Total</t>
  </si>
  <si>
    <t>Idem 4.1.7</t>
  </si>
  <si>
    <t>Comprimento de Blocos</t>
  </si>
  <si>
    <t>Quantidade de barra</t>
  </si>
  <si>
    <t>Idem item 4.1.15</t>
  </si>
  <si>
    <t>Quantidade de estribos</t>
  </si>
  <si>
    <t>Comprimento de Estribos</t>
  </si>
  <si>
    <t>Comprimento de Blocos Reforços</t>
  </si>
  <si>
    <t>Comprimento Pilares</t>
  </si>
  <si>
    <t>Comprimento Longitudinal x 6</t>
  </si>
  <si>
    <t>CONCRETAGEM DE BLOCOS DE COROAMENTO E VIGAS BALDRAME, FCK 30 MPA, COM USO DE JERICA LANÇAMENTO, ADENSAMENTO E ACABAMENTO</t>
  </si>
  <si>
    <t>Quantidade de Pilares</t>
  </si>
  <si>
    <t>Altura dos Pilares</t>
  </si>
  <si>
    <t>Quantidade de barra - 2,80 m</t>
  </si>
  <si>
    <t>Comprimento de  Pilar</t>
  </si>
  <si>
    <t>Qdade de Pilar</t>
  </si>
  <si>
    <t>Espessura</t>
  </si>
  <si>
    <t>Idem item 5.1.5</t>
  </si>
  <si>
    <t>Área de Forma</t>
  </si>
  <si>
    <t>Comprimento da Viga de Respaldo</t>
  </si>
  <si>
    <t>Armadura Negativa x 2</t>
  </si>
  <si>
    <t>Qdade de Estrubos</t>
  </si>
  <si>
    <t>Comprimento unitário</t>
  </si>
  <si>
    <t>Volume Concreto</t>
  </si>
  <si>
    <t>Idem item 5.2.5</t>
  </si>
  <si>
    <t>Portas 80x210</t>
  </si>
  <si>
    <t>Janelas J02</t>
  </si>
  <si>
    <t>Portas 90x210</t>
  </si>
  <si>
    <t>Janelas J12</t>
  </si>
  <si>
    <t>5.3.2</t>
  </si>
  <si>
    <t>Verga e contraverga pré-moldada fck= 20MPa, seção 10x10cm - Portas</t>
  </si>
  <si>
    <t>5.3.3</t>
  </si>
  <si>
    <t>Verga e contraverga pré-moldada fck= 20MPa, seção 10x10cm - Janelas até 1,50 metro</t>
  </si>
  <si>
    <t>Verga e contraverga pré-moldada fck= 20MPa, seção 10x10cm - Janelas acima de 1,50 metro</t>
  </si>
  <si>
    <t>metros</t>
  </si>
  <si>
    <t>Comprimento do Baldrame</t>
  </si>
  <si>
    <t>Altura da Pé Direito</t>
  </si>
  <si>
    <t>Comprimento do Oitão</t>
  </si>
  <si>
    <t>Dois Lados</t>
  </si>
  <si>
    <t>Total da alvenaria</t>
  </si>
  <si>
    <t>Comprimento do baldrame doo item 5.1.1</t>
  </si>
  <si>
    <t>JANELAS DE VIDRO TEMPERADO</t>
  </si>
  <si>
    <t>Janela em vidro temperado e=10 mm</t>
  </si>
  <si>
    <t>Área Total</t>
  </si>
  <si>
    <t>Tesoura</t>
  </si>
  <si>
    <t>unidades</t>
  </si>
  <si>
    <t>Comprimento do prédio</t>
  </si>
  <si>
    <t>Área de impermeabilização</t>
  </si>
  <si>
    <t>Total da chapisco x 2</t>
  </si>
  <si>
    <t>Wc Fem</t>
  </si>
  <si>
    <t>Wc Masc</t>
  </si>
  <si>
    <t>Wc Cons</t>
  </si>
  <si>
    <t>Wc Func</t>
  </si>
  <si>
    <t>Revestimento cerâmico com placas de dimensões 30x40cm aplicadas à meia altura das paredes, alt 1,80 metros</t>
  </si>
  <si>
    <t>Copa</t>
  </si>
  <si>
    <t>Varanda 1</t>
  </si>
  <si>
    <t>Varanda 2</t>
  </si>
  <si>
    <t>Consultório 1</t>
  </si>
  <si>
    <t>Consultório 2</t>
  </si>
  <si>
    <t>Consultório</t>
  </si>
  <si>
    <t>Recepçãp</t>
  </si>
  <si>
    <t>Recepção</t>
  </si>
  <si>
    <t>Perimetro Posto</t>
  </si>
  <si>
    <t>FORRO EM RÉGUAS DE PVC, FRISADO, PARA AMBIENTES RESIDENCIAIS, INCLUSIVE ESTRUTURA DE FIXAÇÃO</t>
  </si>
  <si>
    <t>APLICAÇÃO MANUAL DE FUNDO SELADOR ACRÍLICO EM PAREDES EXTERNAS DE CASAS</t>
  </si>
  <si>
    <t>Textura acrilica externa 2 demão</t>
  </si>
  <si>
    <t>APLICAÇÃO DE FUNDO SELADOR ACRÍLICO EM PAREDES, UMA DEMÃO. AF_06/2014</t>
  </si>
  <si>
    <t>Área de chapisco e reboco</t>
  </si>
  <si>
    <t>Área de Ajulezo</t>
  </si>
  <si>
    <t>Área de Pintura</t>
  </si>
  <si>
    <t>Idem item 11.1</t>
  </si>
  <si>
    <t>Porta 80 x 210</t>
  </si>
  <si>
    <t>Porta 90 x 210</t>
  </si>
  <si>
    <t>Área total</t>
  </si>
  <si>
    <t>Idem item 11.4</t>
  </si>
  <si>
    <t>Perímetro</t>
  </si>
  <si>
    <t>THIAGO SANCHES ALVES CORRÊA</t>
  </si>
  <si>
    <t>CREA MS 11027/D-MS</t>
  </si>
  <si>
    <t>ENG FISCAL</t>
  </si>
  <si>
    <t>Extintor PQS (ABC) 4kg, fornecimento e instalação</t>
  </si>
  <si>
    <t>CAIXA D'AGUA EM POLIETILENO 500 LITROS, COM TAMPA</t>
  </si>
  <si>
    <t>Tubo PVC soldável Ø 50mm, fornecimento e instalação</t>
  </si>
  <si>
    <t>Joelho PVC 90º soldável Ø 50mm, fornecimento e instalação</t>
  </si>
  <si>
    <t>Tê PVC soldável Ø 50mm, fornecimento e instalação</t>
  </si>
  <si>
    <t>ADAPTADOR COM FLANGE E ANEL DE VEDAÇÃO, PVC, SOLDÁVEL, DN 50 MM X 1 1/2 , INSTALADO EM RESERVAÇÃO DE ÁGUA</t>
  </si>
  <si>
    <t>12.2.11</t>
  </si>
  <si>
    <t>ESCAVAÇÃO MANUAL DE VALA COM PROFUNDIDADE MENOR OU IGUAL A 1,30 M.</t>
  </si>
  <si>
    <t>13.1.13</t>
  </si>
  <si>
    <t>13.1.14</t>
  </si>
  <si>
    <t>REATERRO MANUAL DE VALAS COM COMPACTAÇÃO MECANIZADA.</t>
  </si>
  <si>
    <t>Caixa de inspeção em alvenaria 60x60x60cm</t>
  </si>
  <si>
    <t>BANCADA DE GRANITO CINZA POLIDO, DE 1,50 X 0,60 M, PARA PIA DE COZINHA- FORNECIMENTO E INSTALAÇÃO</t>
  </si>
  <si>
    <t>14.9</t>
  </si>
  <si>
    <t>Quadro de distribuição de energia para 12 disjuntores, fornecimento e instalação</t>
  </si>
  <si>
    <t>PONTO DE ILUMINAÇÃO RESIDENCIAL INCLUINDO INTERRUPTOR SIMPLES, CAIXA ELÉTRICA, ELETRODUTO, CABO, RASGO, QUEBRA E CHUMBAMENTO (EXCLUINDO LUMINÁRIA E LAMPADA)</t>
  </si>
  <si>
    <t>PONTO DE TOMADA RESIDENCIAL INCLUINDO TOMADA 10A/250V, CAIXA ELÉTRICA, ELETRODUTO, CABO, RASGO, QUEBRA E CHUMBAMENTO</t>
  </si>
  <si>
    <t>ELETRODUTO FLEXÍVEL CORRUGADO REFORÇADO, PVC, DN 32 MM (1"), PARA CIRCUITOS TERMINAIS - ALIMENTAÇÃO QUADRO</t>
  </si>
  <si>
    <t>16.3.3</t>
  </si>
  <si>
    <t>PONTO DE UTILIZAÇÃO DE EQUIPAMENTOS ELÉTRICOS, RESIDENCIAL, INCLUINDO SUPORTE E PLACA, CAIXA ELÉTRICA, ELETRODUTO, CABO, RASGO, QUEBRA E CHUMBAMENTO - AR CONDICIONADO</t>
  </si>
  <si>
    <t>Cabo de cobre flexível, isolado, seção de 10mm²; anti-chama 450/750V Branco</t>
  </si>
  <si>
    <t>LUMINÁRIAS</t>
  </si>
  <si>
    <t>LUMINÁRIA ARANDELA TIPO TARTARUGA, DE SOBREPOR, COM 1 LÂMPADA LED DE 6 W, SEM REATOR - FORNECIMENTO E INSTALAÇÃO.</t>
  </si>
  <si>
    <t>Limpeza de piso</t>
  </si>
  <si>
    <t>CAMPO GRANDE 15 DE JULHO DE 2021</t>
  </si>
  <si>
    <t>MEMÓRIA DE CÁLCULO</t>
  </si>
  <si>
    <t>Engº Thiago Sanches Alves Corrêa</t>
  </si>
  <si>
    <t>Crea 11.027/D-MS</t>
  </si>
  <si>
    <t>ENG CIVIL</t>
  </si>
  <si>
    <t>11.027/D-MS</t>
  </si>
  <si>
    <t>FABRICAÇÃO E INSTALAÇÃO DE TESOURA INTEIRA EM AÇO, VÃO DE 12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</si>
</sst>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R$&quot;\ * #,##0.00_-;\-&quot;R$&quot;\ * #,##0.00_-;_-&quot;R$&quot;\ * &quot;-&quot;??_-;_-@_-"/>
    <numFmt numFmtId="43" formatCode="_-* #,##0.00_-;\-* #,##0.00_-;_-* &quot;-&quot;??_-;_-@_-"/>
    <numFmt numFmtId="164" formatCode="_(* #,##0.00_);_(* \(#,##0.00\);_(* &quot;-&quot;??_);_(@_)"/>
    <numFmt numFmtId="165" formatCode="#,##0.00&quot; &quot;;&quot; (&quot;#,##0.00&quot;)&quot;;&quot; -&quot;#&quot; &quot;;@&quot; &quot;"/>
    <numFmt numFmtId="166" formatCode="#,##0.00&quot; &quot;;&quot;-&quot;#,##0.00&quot; &quot;;&quot; -&quot;#&quot; &quot;;@&quot; &quot;"/>
    <numFmt numFmtId="167" formatCode="[$R$-416]&quot; &quot;#,##0.00;[Red]&quot;-&quot;[$R$-416]&quot; &quot;#,##0.00"/>
    <numFmt numFmtId="168" formatCode="_-* #,##0.00\ _€_-;\-* #,##0.00\ _€_-;_-* &quot;-&quot;??\ _€_-;_-@_-"/>
    <numFmt numFmtId="169" formatCode="#\,##0."/>
    <numFmt numFmtId="170" formatCode="_(&quot;$&quot;* #,##0_);_(&quot;$&quot;* \(#,##0\);_(&quot;$&quot;* &quot;-&quot;_);_(@_)"/>
    <numFmt numFmtId="171" formatCode="_(&quot;$&quot;* #,##0.00_);_(&quot;$&quot;* \(#,##0.00\);_(&quot;$&quot;* &quot;-&quot;??_);_(@_)"/>
    <numFmt numFmtId="172" formatCode="\$#."/>
    <numFmt numFmtId="173" formatCode="#.00"/>
    <numFmt numFmtId="174" formatCode="0.00_)"/>
    <numFmt numFmtId="175" formatCode="%#.00"/>
    <numFmt numFmtId="176" formatCode="#\,##0.00"/>
    <numFmt numFmtId="177" formatCode="#,"/>
    <numFmt numFmtId="178" formatCode="_(* #,##0_);_(* \(#,##0\);_(* &quot;-&quot;_);_(@_)"/>
    <numFmt numFmtId="179" formatCode="&quot;BDI&quot;\ \=\ #.0\ %"/>
    <numFmt numFmtId="180" formatCode="&quot;R$&quot;\ #,##0.00"/>
    <numFmt numFmtId="181" formatCode="#,##0.0000000"/>
    <numFmt numFmtId="182" formatCode="_(&quot;R$ &quot;* #,##0.00_);_(&quot;R$ &quot;* \(#,##0.00\);_(&quot;R$ &quot;* &quot;-&quot;??_);_(@_)"/>
    <numFmt numFmtId="183" formatCode="dd\ &quot;de&quot;\ mmmm\ &quot;de&quot;\ yyyy"/>
  </numFmts>
  <fonts count="62">
    <font>
      <sz val="11"/>
      <color rgb="FF000000"/>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Arial"/>
      <family val="2"/>
    </font>
    <font>
      <sz val="10"/>
      <name val="Arial1"/>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sz val="11"/>
      <color indexed="8"/>
      <name val="Calibri"/>
      <family val="2"/>
    </font>
    <font>
      <sz val="10"/>
      <name val="Arial"/>
      <family val="2"/>
    </font>
    <font>
      <u/>
      <sz val="11"/>
      <color indexed="12"/>
      <name val="Arial"/>
      <family val="2"/>
    </font>
    <font>
      <sz val="10"/>
      <name val="Arial"/>
      <family val="2"/>
    </font>
    <font>
      <sz val="10"/>
      <name val="MS Sans Serif"/>
      <family val="2"/>
    </font>
    <font>
      <sz val="10"/>
      <name val="Times New Roman"/>
      <family val="1"/>
    </font>
    <font>
      <sz val="10"/>
      <name val="Times New Roman"/>
      <family val="1"/>
    </font>
    <font>
      <sz val="10"/>
      <color indexed="8"/>
      <name val="MS Sans Serif"/>
      <family val="2"/>
    </font>
    <font>
      <sz val="1"/>
      <color indexed="8"/>
      <name val="Courier"/>
      <family val="3"/>
    </font>
    <font>
      <u/>
      <sz val="6"/>
      <color indexed="36"/>
      <name val="MS Sans Serif"/>
      <family val="2"/>
    </font>
    <font>
      <sz val="8"/>
      <name val="Arial"/>
      <family val="2"/>
    </font>
    <font>
      <sz val="10"/>
      <name val="Courier"/>
      <family val="3"/>
    </font>
    <font>
      <sz val="12"/>
      <name val="Times New Roman"/>
      <family val="1"/>
    </font>
    <font>
      <b/>
      <i/>
      <sz val="16"/>
      <name val="Helv"/>
    </font>
    <font>
      <b/>
      <sz val="14"/>
      <name val="Arial"/>
      <family val="2"/>
    </font>
    <font>
      <sz val="1"/>
      <color indexed="18"/>
      <name val="Courier"/>
      <family val="3"/>
    </font>
    <font>
      <b/>
      <sz val="1"/>
      <color indexed="8"/>
      <name val="Courier"/>
      <family val="3"/>
    </font>
    <font>
      <sz val="10"/>
      <name val="Arial"/>
      <family val="2"/>
    </font>
    <font>
      <sz val="10"/>
      <name val="Arial"/>
      <family val="2"/>
    </font>
    <font>
      <sz val="10"/>
      <color theme="1"/>
      <name val="Arial"/>
      <family val="2"/>
    </font>
    <font>
      <sz val="10"/>
      <color theme="1"/>
      <name val="Arial1"/>
    </font>
    <font>
      <sz val="10"/>
      <color rgb="FFFF0000"/>
      <name val="Arial"/>
      <family val="2"/>
    </font>
    <font>
      <b/>
      <sz val="10"/>
      <color rgb="FFFF0000"/>
      <name val="Arial"/>
      <family val="2"/>
    </font>
    <font>
      <b/>
      <sz val="10"/>
      <color theme="1"/>
      <name val="Arial"/>
      <family val="2"/>
    </font>
    <font>
      <sz val="11"/>
      <color theme="1"/>
      <name val="Arial"/>
      <family val="2"/>
    </font>
    <font>
      <b/>
      <sz val="10"/>
      <color indexed="12"/>
      <name val="Arial"/>
      <family val="2"/>
    </font>
    <font>
      <sz val="10"/>
      <color rgb="FF000000"/>
      <name val="Arial"/>
      <family val="2"/>
    </font>
    <font>
      <b/>
      <sz val="10"/>
      <color indexed="8"/>
      <name val="Arial"/>
      <family val="2"/>
    </font>
    <font>
      <sz val="11"/>
      <color indexed="9"/>
      <name val="Arial"/>
      <family val="2"/>
    </font>
    <font>
      <b/>
      <sz val="12"/>
      <name val="Arial"/>
      <family val="2"/>
    </font>
    <font>
      <sz val="9"/>
      <name val="Arial"/>
      <family val="2"/>
    </font>
    <font>
      <b/>
      <u/>
      <sz val="15"/>
      <name val="Arial"/>
      <family val="2"/>
    </font>
    <font>
      <b/>
      <sz val="11"/>
      <name val="Arial"/>
      <family val="2"/>
    </font>
    <font>
      <sz val="11"/>
      <name val="Arial"/>
      <family val="2"/>
    </font>
    <font>
      <b/>
      <sz val="11"/>
      <color indexed="12"/>
      <name val="Arial"/>
      <family val="2"/>
    </font>
    <font>
      <i/>
      <sz val="12"/>
      <name val="Calibri"/>
      <family val="2"/>
    </font>
    <font>
      <i/>
      <u/>
      <sz val="12"/>
      <name val="Calibri"/>
      <family val="2"/>
    </font>
    <font>
      <u/>
      <sz val="10"/>
      <name val="Arial"/>
      <family val="2"/>
    </font>
    <font>
      <sz val="12"/>
      <name val="Arial"/>
      <family val="2"/>
    </font>
    <font>
      <b/>
      <sz val="11"/>
      <color rgb="FF000000"/>
      <name val="Arial"/>
      <family val="2"/>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52"/>
        <bgColor indexed="64"/>
      </patternFill>
    </fill>
    <fill>
      <patternFill patternType="solid">
        <fgColor indexed="26"/>
        <bgColor indexed="64"/>
      </patternFill>
    </fill>
    <fill>
      <patternFill patternType="solid">
        <fgColor rgb="FFC0C0C0"/>
        <bgColor indexed="64"/>
      </patternFill>
    </fill>
    <fill>
      <patternFill patternType="solid">
        <fgColor indexed="4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366">
    <xf numFmtId="0" fontId="0" fillId="0" borderId="0"/>
    <xf numFmtId="0" fontId="17" fillId="0" borderId="0" applyNumberFormat="0" applyBorder="0" applyProtection="0"/>
    <xf numFmtId="0" fontId="17" fillId="0" borderId="0" applyNumberFormat="0" applyBorder="0" applyProtection="0"/>
    <xf numFmtId="165" fontId="17" fillId="0" borderId="0" applyBorder="0" applyProtection="0"/>
    <xf numFmtId="165" fontId="17" fillId="0" borderId="0" applyBorder="0" applyProtection="0"/>
    <xf numFmtId="0" fontId="18" fillId="0" borderId="0" applyNumberFormat="0" applyBorder="0" applyProtection="0"/>
    <xf numFmtId="0" fontId="17" fillId="0" borderId="0" applyNumberFormat="0" applyBorder="0" applyProtection="0"/>
    <xf numFmtId="166" fontId="18" fillId="0" borderId="0" applyBorder="0" applyProtection="0"/>
    <xf numFmtId="0" fontId="19" fillId="0" borderId="0" applyNumberFormat="0" applyBorder="0" applyProtection="0">
      <alignment horizontal="center"/>
    </xf>
    <xf numFmtId="0" fontId="19" fillId="0" borderId="0" applyNumberFormat="0" applyBorder="0" applyProtection="0">
      <alignment horizontal="center" textRotation="90"/>
    </xf>
    <xf numFmtId="0" fontId="13" fillId="0" borderId="0"/>
    <xf numFmtId="9" fontId="13" fillId="0" borderId="0" applyFont="0" applyFill="0" applyBorder="0" applyAlignment="0" applyProtection="0"/>
    <xf numFmtId="0" fontId="20" fillId="0" borderId="0" applyNumberFormat="0" applyBorder="0" applyProtection="0"/>
    <xf numFmtId="167" fontId="20" fillId="0" borderId="0" applyBorder="0" applyProtection="0"/>
    <xf numFmtId="164" fontId="15" fillId="0" borderId="0" applyFont="0" applyFill="0" applyBorder="0" applyAlignment="0" applyProtection="0"/>
    <xf numFmtId="164" fontId="13" fillId="0" borderId="0" applyFont="0" applyFill="0" applyBorder="0" applyAlignment="0" applyProtection="0"/>
    <xf numFmtId="165" fontId="17" fillId="0" borderId="0" applyBorder="0" applyProtection="0"/>
    <xf numFmtId="0" fontId="13" fillId="0" borderId="0"/>
    <xf numFmtId="0" fontId="13" fillId="0" borderId="0"/>
    <xf numFmtId="0" fontId="13" fillId="0" borderId="0"/>
    <xf numFmtId="0" fontId="21" fillId="0" borderId="0"/>
    <xf numFmtId="164" fontId="13" fillId="0" borderId="0" applyFont="0" applyFill="0" applyBorder="0" applyAlignment="0" applyProtection="0"/>
    <xf numFmtId="164" fontId="15" fillId="0" borderId="0" applyFont="0" applyFill="0" applyBorder="0" applyAlignment="0" applyProtection="0"/>
    <xf numFmtId="0" fontId="12" fillId="0" borderId="0"/>
    <xf numFmtId="0" fontId="11" fillId="0" borderId="0"/>
    <xf numFmtId="0" fontId="23" fillId="0" borderId="0"/>
    <xf numFmtId="164" fontId="15" fillId="0" borderId="0" applyFont="0" applyFill="0" applyBorder="0" applyAlignment="0" applyProtection="0"/>
    <xf numFmtId="0" fontId="21" fillId="0" borderId="0"/>
    <xf numFmtId="164" fontId="13" fillId="0" borderId="0" applyFont="0" applyFill="0" applyBorder="0" applyAlignment="0" applyProtection="0"/>
    <xf numFmtId="9" fontId="13" fillId="0" borderId="0" applyFont="0" applyFill="0" applyBorder="0" applyAlignment="0" applyProtection="0"/>
    <xf numFmtId="0" fontId="18" fillId="0" borderId="0" applyNumberFormat="0" applyBorder="0" applyProtection="0"/>
    <xf numFmtId="0" fontId="24" fillId="0" borderId="0" applyNumberFormat="0" applyFill="0" applyBorder="0" applyAlignment="0" applyProtection="0">
      <alignment vertical="top"/>
      <protection locked="0"/>
    </xf>
    <xf numFmtId="44" fontId="15"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5" fillId="0" borderId="0" applyFont="0" applyFill="0" applyBorder="0" applyAlignment="0" applyProtection="0"/>
    <xf numFmtId="164" fontId="13" fillId="0" borderId="0" applyFont="0" applyFill="0" applyBorder="0" applyAlignment="0" applyProtection="0"/>
    <xf numFmtId="0" fontId="13" fillId="0" borderId="0"/>
    <xf numFmtId="0" fontId="25" fillId="0" borderId="0"/>
    <xf numFmtId="0" fontId="22" fillId="0" borderId="0"/>
    <xf numFmtId="0" fontId="10" fillId="0" borderId="0"/>
    <xf numFmtId="9" fontId="21" fillId="0" borderId="0" applyFont="0" applyFill="0" applyBorder="0" applyAlignment="0" applyProtection="0"/>
    <xf numFmtId="164" fontId="25"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0" fontId="13" fillId="0" borderId="0"/>
    <xf numFmtId="0" fontId="9" fillId="0" borderId="0"/>
    <xf numFmtId="43" fontId="9" fillId="0" borderId="0" applyFont="0" applyFill="0" applyBorder="0" applyAlignment="0" applyProtection="0"/>
    <xf numFmtId="0" fontId="13" fillId="0" borderId="0"/>
    <xf numFmtId="0" fontId="9" fillId="0" borderId="0"/>
    <xf numFmtId="0" fontId="9" fillId="0" borderId="0"/>
    <xf numFmtId="0" fontId="9" fillId="0" borderId="0"/>
    <xf numFmtId="0" fontId="9" fillId="0" borderId="0"/>
    <xf numFmtId="0" fontId="13" fillId="0" borderId="0"/>
    <xf numFmtId="164" fontId="13" fillId="0" borderId="0" applyFont="0" applyFill="0" applyBorder="0" applyAlignment="0" applyProtection="0"/>
    <xf numFmtId="43" fontId="9" fillId="0" borderId="0" applyFont="0" applyFill="0" applyBorder="0" applyAlignment="0" applyProtection="0"/>
    <xf numFmtId="164" fontId="27" fillId="0" borderId="0" applyFont="0" applyFill="0" applyBorder="0" applyAlignment="0" applyProtection="0"/>
    <xf numFmtId="0" fontId="28" fillId="0" borderId="0"/>
    <xf numFmtId="9" fontId="27" fillId="0" borderId="0" applyFont="0" applyFill="0" applyBorder="0" applyAlignment="0" applyProtection="0"/>
    <xf numFmtId="0" fontId="29" fillId="0" borderId="0"/>
    <xf numFmtId="168" fontId="13" fillId="0" borderId="0" applyFont="0" applyFill="0" applyBorder="0" applyAlignment="0" applyProtection="0"/>
    <xf numFmtId="169" fontId="30" fillId="0" borderId="0">
      <protection locked="0"/>
    </xf>
    <xf numFmtId="0" fontId="14" fillId="6" borderId="25" applyFill="0" applyBorder="0" applyAlignment="0" applyProtection="0">
      <alignment vertical="center"/>
      <protection locked="0"/>
    </xf>
    <xf numFmtId="170" fontId="13" fillId="0" borderId="0" applyFont="0" applyFill="0" applyBorder="0" applyAlignment="0" applyProtection="0"/>
    <xf numFmtId="171" fontId="13" fillId="0" borderId="0" applyFont="0" applyFill="0" applyBorder="0" applyAlignment="0" applyProtection="0"/>
    <xf numFmtId="172" fontId="30" fillId="0" borderId="0">
      <protection locked="0"/>
    </xf>
    <xf numFmtId="0" fontId="30" fillId="0" borderId="0">
      <protection locked="0"/>
    </xf>
    <xf numFmtId="0" fontId="30" fillId="0" borderId="0">
      <protection locked="0"/>
    </xf>
    <xf numFmtId="173" fontId="30" fillId="0" borderId="0">
      <protection locked="0"/>
    </xf>
    <xf numFmtId="173" fontId="30" fillId="0" borderId="0">
      <protection locked="0"/>
    </xf>
    <xf numFmtId="0" fontId="31" fillId="0" borderId="0" applyNumberFormat="0" applyFill="0" applyBorder="0" applyAlignment="0" applyProtection="0">
      <alignment vertical="top"/>
      <protection locked="0"/>
    </xf>
    <xf numFmtId="38" fontId="32" fillId="2" borderId="0" applyNumberFormat="0" applyBorder="0" applyAlignment="0" applyProtection="0"/>
    <xf numFmtId="0" fontId="30" fillId="0" borderId="0">
      <protection locked="0"/>
    </xf>
    <xf numFmtId="0" fontId="30" fillId="0" borderId="0">
      <protection locked="0"/>
    </xf>
    <xf numFmtId="0" fontId="33" fillId="0" borderId="0"/>
    <xf numFmtId="10" fontId="32" fillId="7" borderId="1" applyNumberFormat="0" applyBorder="0" applyAlignment="0" applyProtection="0"/>
    <xf numFmtId="0" fontId="13" fillId="0" borderId="0">
      <alignment horizontal="centerContinuous" vertical="justify"/>
    </xf>
    <xf numFmtId="0" fontId="34" fillId="0" borderId="0" applyAlignment="0">
      <alignment horizontal="center"/>
    </xf>
    <xf numFmtId="174" fontId="35" fillId="0" borderId="0"/>
    <xf numFmtId="0" fontId="36" fillId="0" borderId="0">
      <alignment horizontal="left" vertical="center" indent="12"/>
    </xf>
    <xf numFmtId="0" fontId="32" fillId="0" borderId="25" applyBorder="0">
      <alignment horizontal="left" vertical="center" wrapText="1" indent="2"/>
      <protection locked="0"/>
    </xf>
    <xf numFmtId="0" fontId="32" fillId="0" borderId="25" applyBorder="0">
      <alignment horizontal="left" vertical="center" wrapText="1" indent="3"/>
      <protection locked="0"/>
    </xf>
    <xf numFmtId="10" fontId="13" fillId="0" borderId="0" applyFont="0" applyFill="0" applyBorder="0" applyAlignment="0" applyProtection="0"/>
    <xf numFmtId="175" fontId="30" fillId="0" borderId="0">
      <protection locked="0"/>
    </xf>
    <xf numFmtId="175" fontId="30" fillId="0" borderId="0">
      <protection locked="0"/>
    </xf>
    <xf numFmtId="176" fontId="30" fillId="0" borderId="0">
      <protection locked="0"/>
    </xf>
    <xf numFmtId="38" fontId="26" fillId="0" borderId="0" applyFont="0" applyFill="0" applyBorder="0" applyAlignment="0" applyProtection="0"/>
    <xf numFmtId="177" fontId="37" fillId="0" borderId="0">
      <protection locked="0"/>
    </xf>
    <xf numFmtId="178" fontId="27" fillId="0" borderId="0" applyFont="0" applyFill="0" applyBorder="0" applyAlignment="0" applyProtection="0"/>
    <xf numFmtId="0" fontId="26" fillId="0" borderId="0"/>
    <xf numFmtId="0" fontId="38" fillId="0" borderId="0">
      <protection locked="0"/>
    </xf>
    <xf numFmtId="0" fontId="38" fillId="0" borderId="0">
      <protection locked="0"/>
    </xf>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7" fillId="0" borderId="0" applyFont="0" applyFill="0" applyBorder="0" applyAlignment="0" applyProtection="0"/>
    <xf numFmtId="43" fontId="7" fillId="0" borderId="0" applyFont="0" applyFill="0" applyBorder="0" applyAlignment="0" applyProtection="0"/>
    <xf numFmtId="171" fontId="13"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27"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9" fillId="0" borderId="0"/>
    <xf numFmtId="164" fontId="39" fillId="0" borderId="0" applyFont="0" applyFill="0" applyBorder="0" applyAlignment="0" applyProtection="0"/>
    <xf numFmtId="9" fontId="39" fillId="0" borderId="0" applyFont="0" applyFill="0" applyBorder="0" applyAlignment="0" applyProtection="0"/>
    <xf numFmtId="0" fontId="4" fillId="0" borderId="0"/>
    <xf numFmtId="43" fontId="4" fillId="0" borderId="0" applyFont="0" applyFill="0" applyBorder="0" applyAlignment="0" applyProtection="0"/>
    <xf numFmtId="0" fontId="13" fillId="0" borderId="0"/>
    <xf numFmtId="0" fontId="40"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3" fontId="3" fillId="0" borderId="0" applyFont="0" applyFill="0" applyBorder="0" applyAlignment="0" applyProtection="0"/>
    <xf numFmtId="43" fontId="3" fillId="0" borderId="0" applyFont="0" applyFill="0" applyBorder="0" applyAlignment="0" applyProtection="0"/>
    <xf numFmtId="0" fontId="13" fillId="0" borderId="0"/>
    <xf numFmtId="43" fontId="3" fillId="0" borderId="0" applyFont="0" applyFill="0" applyBorder="0" applyAlignment="0" applyProtection="0"/>
    <xf numFmtId="164"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0"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13" fillId="0" borderId="0"/>
    <xf numFmtId="0" fontId="13" fillId="0" borderId="0"/>
    <xf numFmtId="0" fontId="3" fillId="0" borderId="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3"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164" fontId="1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0" fontId="13" fillId="0" borderId="0"/>
    <xf numFmtId="0" fontId="52" fillId="0" borderId="0"/>
    <xf numFmtId="182" fontId="13" fillId="0" borderId="0" applyFont="0" applyFill="0" applyBorder="0" applyAlignment="0" applyProtection="0"/>
  </cellStyleXfs>
  <cellXfs count="423">
    <xf numFmtId="0" fontId="0" fillId="0" borderId="0" xfId="0"/>
    <xf numFmtId="0" fontId="14" fillId="0" borderId="0" xfId="10" applyFont="1" applyFill="1" applyBorder="1" applyAlignment="1">
      <alignment horizontal="center" vertical="center" wrapText="1"/>
    </xf>
    <xf numFmtId="0" fontId="14" fillId="0" borderId="0" xfId="10" applyFont="1" applyFill="1" applyBorder="1" applyAlignment="1">
      <alignment horizontal="center" wrapText="1"/>
    </xf>
    <xf numFmtId="0" fontId="13" fillId="0" borderId="0" xfId="10" applyFont="1" applyFill="1" applyBorder="1" applyAlignment="1">
      <alignment horizontal="left" vertical="center" wrapText="1"/>
    </xf>
    <xf numFmtId="0" fontId="13" fillId="0" borderId="0" xfId="10" applyFont="1" applyFill="1" applyBorder="1" applyAlignment="1">
      <alignment vertical="center"/>
    </xf>
    <xf numFmtId="0" fontId="13" fillId="0" borderId="0" xfId="10" applyFont="1" applyFill="1" applyAlignment="1">
      <alignment horizontal="center" vertical="center"/>
    </xf>
    <xf numFmtId="0" fontId="13" fillId="0" borderId="0" xfId="10" applyFont="1" applyFill="1" applyAlignment="1">
      <alignment horizontal="center"/>
    </xf>
    <xf numFmtId="0" fontId="13" fillId="0" borderId="0" xfId="10" applyFont="1" applyAlignment="1">
      <alignment vertical="center"/>
    </xf>
    <xf numFmtId="0" fontId="14" fillId="0" borderId="0" xfId="10" applyFont="1" applyFill="1" applyBorder="1" applyAlignment="1">
      <alignment vertical="center"/>
    </xf>
    <xf numFmtId="0" fontId="13" fillId="0" borderId="0" xfId="10" applyFont="1" applyFill="1" applyBorder="1" applyAlignment="1">
      <alignment horizontal="center"/>
    </xf>
    <xf numFmtId="0" fontId="14" fillId="4" borderId="1" xfId="10" applyFont="1" applyFill="1" applyBorder="1" applyAlignment="1">
      <alignment vertical="center" wrapText="1"/>
    </xf>
    <xf numFmtId="0" fontId="14" fillId="0" borderId="1" xfId="10" applyFont="1" applyFill="1" applyBorder="1" applyAlignment="1">
      <alignment horizontal="center" vertical="center" wrapText="1"/>
    </xf>
    <xf numFmtId="165" fontId="16" fillId="0" borderId="1" xfId="4" applyFont="1" applyFill="1" applyBorder="1" applyAlignment="1">
      <alignment horizontal="center" vertical="center" wrapText="1"/>
    </xf>
    <xf numFmtId="0" fontId="14" fillId="4" borderId="1" xfId="10" applyFont="1" applyFill="1" applyBorder="1" applyAlignment="1">
      <alignment horizontal="center" vertical="center"/>
    </xf>
    <xf numFmtId="164" fontId="13" fillId="0" borderId="0" xfId="26" applyFont="1" applyFill="1" applyAlignment="1">
      <alignment horizontal="center" vertical="center"/>
    </xf>
    <xf numFmtId="164" fontId="13" fillId="0" borderId="0" xfId="26" applyFont="1" applyFill="1" applyBorder="1" applyAlignment="1">
      <alignment horizontal="center" vertical="center"/>
    </xf>
    <xf numFmtId="164" fontId="13" fillId="0" borderId="0" xfId="26" applyFont="1" applyFill="1" applyBorder="1" applyAlignment="1">
      <alignment horizontal="center" vertical="center" wrapText="1"/>
    </xf>
    <xf numFmtId="164" fontId="14" fillId="0" borderId="0" xfId="26" applyFont="1" applyFill="1" applyBorder="1" applyAlignment="1">
      <alignment horizontal="center" vertical="center"/>
    </xf>
    <xf numFmtId="164" fontId="14" fillId="0" borderId="1" xfId="26" applyFont="1" applyFill="1" applyBorder="1" applyAlignment="1">
      <alignment horizontal="center" vertical="center"/>
    </xf>
    <xf numFmtId="0" fontId="14" fillId="4" borderId="1" xfId="10" applyFont="1" applyFill="1" applyBorder="1" applyAlignment="1">
      <alignment horizontal="center" vertical="center" wrapText="1"/>
    </xf>
    <xf numFmtId="0" fontId="13" fillId="4" borderId="0" xfId="10" applyFont="1" applyFill="1" applyAlignment="1">
      <alignment vertical="center"/>
    </xf>
    <xf numFmtId="0" fontId="13" fillId="0" borderId="0" xfId="10" applyFont="1" applyFill="1" applyBorder="1" applyAlignment="1">
      <alignment horizontal="center" vertical="center"/>
    </xf>
    <xf numFmtId="0" fontId="13" fillId="0" borderId="12" xfId="10" applyBorder="1" applyAlignment="1">
      <alignment horizontal="center"/>
    </xf>
    <xf numFmtId="10" fontId="0" fillId="0" borderId="1" xfId="11" applyNumberFormat="1" applyFont="1" applyBorder="1"/>
    <xf numFmtId="0" fontId="13" fillId="0" borderId="1" xfId="10" applyBorder="1"/>
    <xf numFmtId="164" fontId="13" fillId="0" borderId="1" xfId="10" applyNumberFormat="1" applyBorder="1"/>
    <xf numFmtId="9" fontId="13" fillId="5" borderId="1" xfId="11" applyFont="1" applyFill="1" applyBorder="1"/>
    <xf numFmtId="9" fontId="0" fillId="0" borderId="1" xfId="11" applyFont="1" applyFill="1" applyBorder="1"/>
    <xf numFmtId="9" fontId="13" fillId="0" borderId="1" xfId="11" applyFont="1" applyFill="1" applyBorder="1"/>
    <xf numFmtId="164" fontId="0" fillId="0" borderId="1" xfId="45" applyFont="1" applyBorder="1"/>
    <xf numFmtId="0" fontId="13" fillId="0" borderId="1" xfId="10" applyBorder="1" applyAlignment="1">
      <alignment horizontal="center"/>
    </xf>
    <xf numFmtId="0" fontId="13" fillId="0" borderId="0" xfId="10"/>
    <xf numFmtId="164" fontId="0" fillId="0" borderId="0" xfId="45" applyFont="1"/>
    <xf numFmtId="10" fontId="13" fillId="3" borderId="13" xfId="10" applyNumberFormat="1" applyFill="1" applyBorder="1"/>
    <xf numFmtId="10" fontId="13" fillId="3" borderId="14" xfId="10" applyNumberFormat="1" applyFill="1" applyBorder="1"/>
    <xf numFmtId="49" fontId="14" fillId="2" borderId="25" xfId="10" applyNumberFormat="1" applyFont="1" applyFill="1" applyBorder="1" applyAlignment="1">
      <alignment vertical="center"/>
    </xf>
    <xf numFmtId="49" fontId="14" fillId="2" borderId="23" xfId="10" applyNumberFormat="1" applyFont="1" applyFill="1" applyBorder="1" applyAlignment="1">
      <alignment vertical="center"/>
    </xf>
    <xf numFmtId="0" fontId="13" fillId="0" borderId="8" xfId="10" applyFont="1" applyFill="1" applyBorder="1" applyAlignment="1">
      <alignment vertical="center" wrapText="1"/>
    </xf>
    <xf numFmtId="49" fontId="14" fillId="3" borderId="2" xfId="10" applyNumberFormat="1" applyFont="1" applyFill="1" applyBorder="1" applyAlignment="1">
      <alignment horizontal="center" vertical="center" wrapText="1"/>
    </xf>
    <xf numFmtId="164" fontId="14" fillId="3" borderId="24" xfId="26" applyFont="1" applyFill="1" applyBorder="1" applyAlignment="1">
      <alignment horizontal="center" vertical="center" wrapText="1"/>
    </xf>
    <xf numFmtId="4" fontId="14" fillId="3" borderId="2" xfId="10" applyNumberFormat="1" applyFont="1" applyFill="1" applyBorder="1" applyAlignment="1">
      <alignment horizontal="center" vertical="center" wrapText="1"/>
    </xf>
    <xf numFmtId="4" fontId="14" fillId="3" borderId="3" xfId="10" applyNumberFormat="1" applyFont="1" applyFill="1" applyBorder="1" applyAlignment="1">
      <alignment horizontal="center" vertical="center" wrapText="1"/>
    </xf>
    <xf numFmtId="0" fontId="13" fillId="0" borderId="0" xfId="10" applyFont="1" applyFill="1" applyBorder="1" applyAlignment="1">
      <alignment horizontal="center" vertical="center" wrapText="1"/>
    </xf>
    <xf numFmtId="49" fontId="14" fillId="3" borderId="13" xfId="10" applyNumberFormat="1" applyFont="1" applyFill="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0" xfId="0" applyFont="1" applyFill="1" applyAlignment="1">
      <alignment vertical="center"/>
    </xf>
    <xf numFmtId="0" fontId="36" fillId="0" borderId="4" xfId="10" applyFont="1" applyBorder="1" applyAlignment="1">
      <alignment vertical="center"/>
    </xf>
    <xf numFmtId="0" fontId="36" fillId="0" borderId="5" xfId="10" applyFont="1" applyBorder="1" applyAlignment="1">
      <alignment vertical="center"/>
    </xf>
    <xf numFmtId="0" fontId="36" fillId="0" borderId="6" xfId="10" applyFont="1" applyBorder="1" applyAlignment="1">
      <alignment vertical="center"/>
    </xf>
    <xf numFmtId="0" fontId="13" fillId="0" borderId="0" xfId="10" applyFont="1" applyAlignment="1">
      <alignment horizontal="left" vertical="center"/>
    </xf>
    <xf numFmtId="0" fontId="13" fillId="0" borderId="0" xfId="10" applyFont="1" applyAlignment="1">
      <alignment horizontal="center" vertical="center"/>
    </xf>
    <xf numFmtId="164" fontId="13" fillId="0" borderId="0" xfId="45" applyFont="1" applyAlignment="1">
      <alignment horizontal="center" vertical="center"/>
    </xf>
    <xf numFmtId="0" fontId="14" fillId="0" borderId="4" xfId="10" applyFont="1" applyBorder="1" applyAlignment="1">
      <alignment vertical="center"/>
    </xf>
    <xf numFmtId="0" fontId="14" fillId="0" borderId="5" xfId="10" applyFont="1" applyBorder="1" applyAlignment="1">
      <alignment vertical="center"/>
    </xf>
    <xf numFmtId="0" fontId="13" fillId="0" borderId="5" xfId="10" applyFont="1" applyBorder="1" applyAlignment="1">
      <alignment horizontal="left" vertical="center"/>
    </xf>
    <xf numFmtId="0" fontId="13" fillId="0" borderId="5" xfId="10" applyFont="1" applyBorder="1" applyAlignment="1">
      <alignment horizontal="center" vertical="center"/>
    </xf>
    <xf numFmtId="164" fontId="13" fillId="0" borderId="5" xfId="45" applyFont="1" applyBorder="1" applyAlignment="1">
      <alignment horizontal="center" vertical="center"/>
    </xf>
    <xf numFmtId="0" fontId="13" fillId="0" borderId="5" xfId="10" applyFont="1" applyBorder="1" applyAlignment="1">
      <alignment vertical="center"/>
    </xf>
    <xf numFmtId="0" fontId="13" fillId="0" borderId="6" xfId="10" applyFont="1" applyBorder="1" applyAlignment="1">
      <alignment horizontal="center" vertical="center"/>
    </xf>
    <xf numFmtId="0" fontId="14" fillId="0" borderId="7" xfId="10" applyFont="1" applyBorder="1" applyAlignment="1">
      <alignment vertical="center"/>
    </xf>
    <xf numFmtId="0" fontId="14" fillId="0" borderId="0" xfId="10" applyFont="1" applyBorder="1" applyAlignment="1">
      <alignment vertical="center"/>
    </xf>
    <xf numFmtId="0" fontId="13" fillId="0" borderId="0" xfId="10" applyFont="1" applyBorder="1" applyAlignment="1">
      <alignment horizontal="left" vertical="center"/>
    </xf>
    <xf numFmtId="0" fontId="13" fillId="0" borderId="0" xfId="10" applyFont="1" applyBorder="1" applyAlignment="1">
      <alignment horizontal="center" vertical="center"/>
    </xf>
    <xf numFmtId="164" fontId="14" fillId="0" borderId="0" xfId="45" applyFont="1" applyBorder="1" applyAlignment="1">
      <alignment horizontal="center" vertical="center"/>
    </xf>
    <xf numFmtId="9" fontId="13" fillId="0" borderId="0" xfId="10" applyNumberFormat="1" applyFont="1" applyBorder="1" applyAlignment="1">
      <alignment vertical="center"/>
    </xf>
    <xf numFmtId="0" fontId="13" fillId="0" borderId="0" xfId="10" applyFont="1" applyBorder="1" applyAlignment="1">
      <alignment vertical="center"/>
    </xf>
    <xf numFmtId="0" fontId="13" fillId="0" borderId="8" xfId="10" applyFont="1" applyBorder="1" applyAlignment="1">
      <alignment horizontal="center" vertical="center"/>
    </xf>
    <xf numFmtId="0" fontId="14" fillId="0" borderId="9" xfId="10" applyFont="1" applyBorder="1" applyAlignment="1">
      <alignment vertical="center"/>
    </xf>
    <xf numFmtId="0" fontId="14" fillId="0" borderId="10" xfId="10" applyFont="1" applyBorder="1" applyAlignment="1">
      <alignment vertical="center"/>
    </xf>
    <xf numFmtId="0" fontId="13" fillId="0" borderId="10" xfId="10" applyFont="1" applyBorder="1" applyAlignment="1">
      <alignment horizontal="left" vertical="center"/>
    </xf>
    <xf numFmtId="0" fontId="13" fillId="0" borderId="10" xfId="10" applyFont="1" applyBorder="1" applyAlignment="1">
      <alignment horizontal="center" vertical="center"/>
    </xf>
    <xf numFmtId="164" fontId="14" fillId="0" borderId="10" xfId="45" applyFont="1" applyBorder="1" applyAlignment="1">
      <alignment horizontal="center" vertical="center"/>
    </xf>
    <xf numFmtId="0" fontId="13" fillId="0" borderId="10" xfId="10" applyFont="1" applyBorder="1" applyAlignment="1">
      <alignment vertical="center"/>
    </xf>
    <xf numFmtId="0" fontId="13" fillId="0" borderId="11" xfId="10" applyFont="1" applyBorder="1" applyAlignment="1">
      <alignment horizontal="center" vertical="center"/>
    </xf>
    <xf numFmtId="0" fontId="13" fillId="5" borderId="16" xfId="10" applyFill="1" applyBorder="1" applyAlignment="1">
      <alignment horizontal="center"/>
    </xf>
    <xf numFmtId="0" fontId="13" fillId="5" borderId="17" xfId="10" applyFill="1" applyBorder="1" applyAlignment="1">
      <alignment horizontal="center"/>
    </xf>
    <xf numFmtId="0" fontId="13" fillId="5" borderId="17" xfId="10" applyFill="1" applyBorder="1" applyAlignment="1">
      <alignment horizontal="right"/>
    </xf>
    <xf numFmtId="0" fontId="13" fillId="5" borderId="18" xfId="10" applyFill="1" applyBorder="1" applyAlignment="1">
      <alignment horizontal="center"/>
    </xf>
    <xf numFmtId="0" fontId="13" fillId="0" borderId="12" xfId="10" applyBorder="1"/>
    <xf numFmtId="0" fontId="13" fillId="0" borderId="1" xfId="10" applyBorder="1" applyAlignment="1">
      <alignment horizontal="right"/>
    </xf>
    <xf numFmtId="0" fontId="13" fillId="0" borderId="19" xfId="10" applyBorder="1"/>
    <xf numFmtId="49" fontId="13" fillId="0" borderId="1" xfId="10" applyNumberFormat="1" applyBorder="1"/>
    <xf numFmtId="10" fontId="13" fillId="0" borderId="0" xfId="10" applyNumberFormat="1"/>
    <xf numFmtId="9" fontId="0" fillId="0" borderId="19" xfId="11" applyFont="1" applyFill="1" applyBorder="1"/>
    <xf numFmtId="164" fontId="13" fillId="0" borderId="19" xfId="10" applyNumberFormat="1" applyBorder="1"/>
    <xf numFmtId="9" fontId="13" fillId="5" borderId="19" xfId="11" applyFont="1" applyFill="1" applyBorder="1"/>
    <xf numFmtId="9" fontId="13" fillId="0" borderId="19" xfId="11" applyFont="1" applyFill="1" applyBorder="1"/>
    <xf numFmtId="0" fontId="13" fillId="0" borderId="20" xfId="10" applyBorder="1" applyAlignment="1">
      <alignment horizontal="center"/>
    </xf>
    <xf numFmtId="0" fontId="13" fillId="0" borderId="21" xfId="10" applyBorder="1"/>
    <xf numFmtId="164" fontId="0" fillId="0" borderId="21" xfId="45" applyFont="1" applyBorder="1"/>
    <xf numFmtId="10" fontId="0" fillId="0" borderId="21" xfId="11" applyNumberFormat="1" applyFont="1" applyBorder="1"/>
    <xf numFmtId="9" fontId="0" fillId="0" borderId="21" xfId="11" applyFont="1" applyFill="1" applyBorder="1"/>
    <xf numFmtId="164" fontId="13" fillId="0" borderId="22" xfId="10" applyNumberFormat="1" applyBorder="1"/>
    <xf numFmtId="164" fontId="14" fillId="5" borderId="27" xfId="45" applyFont="1" applyFill="1" applyBorder="1"/>
    <xf numFmtId="0" fontId="13" fillId="5" borderId="2" xfId="10" applyFill="1" applyBorder="1"/>
    <xf numFmtId="164" fontId="13" fillId="5" borderId="2" xfId="10" applyNumberFormat="1" applyFill="1" applyBorder="1"/>
    <xf numFmtId="10" fontId="0" fillId="0" borderId="13" xfId="11" applyNumberFormat="1" applyFont="1" applyBorder="1"/>
    <xf numFmtId="10" fontId="0" fillId="0" borderId="14" xfId="11" applyNumberFormat="1" applyFont="1" applyBorder="1"/>
    <xf numFmtId="10" fontId="0" fillId="0" borderId="15" xfId="11" applyNumberFormat="1" applyFont="1" applyBorder="1"/>
    <xf numFmtId="10" fontId="13" fillId="3" borderId="15" xfId="10" applyNumberFormat="1" applyFill="1" applyBorder="1"/>
    <xf numFmtId="0" fontId="13" fillId="0" borderId="1" xfId="179" applyFont="1" applyFill="1" applyBorder="1" applyAlignment="1">
      <alignment horizontal="left" vertical="center" wrapText="1"/>
    </xf>
    <xf numFmtId="0" fontId="13" fillId="0" borderId="1" xfId="220" applyFont="1" applyFill="1" applyBorder="1" applyAlignment="1">
      <alignment horizontal="center" vertical="center"/>
    </xf>
    <xf numFmtId="0" fontId="13" fillId="0" borderId="1" xfId="259" applyFont="1" applyFill="1" applyBorder="1" applyAlignment="1">
      <alignment horizontal="center" vertical="center"/>
    </xf>
    <xf numFmtId="0" fontId="13" fillId="0" borderId="1" xfId="225" applyFont="1" applyFill="1" applyBorder="1" applyAlignment="1">
      <alignment horizontal="center" vertical="center"/>
    </xf>
    <xf numFmtId="0" fontId="13" fillId="0" borderId="1" xfId="185" applyFont="1" applyFill="1" applyBorder="1" applyAlignment="1">
      <alignment horizontal="center" vertical="center"/>
    </xf>
    <xf numFmtId="0" fontId="13" fillId="0" borderId="1" xfId="183" applyFont="1" applyFill="1" applyBorder="1" applyAlignment="1">
      <alignment horizontal="center" vertical="center"/>
    </xf>
    <xf numFmtId="0" fontId="13" fillId="0" borderId="1" xfId="181" applyFont="1" applyFill="1" applyBorder="1" applyAlignment="1">
      <alignment horizontal="center" vertical="center"/>
    </xf>
    <xf numFmtId="0" fontId="13" fillId="0" borderId="1" xfId="261" applyFont="1" applyFill="1" applyBorder="1" applyAlignment="1">
      <alignment horizontal="center" vertical="center"/>
    </xf>
    <xf numFmtId="0" fontId="13" fillId="0" borderId="1" xfId="206" applyFont="1" applyFill="1" applyBorder="1" applyAlignment="1">
      <alignment horizontal="center" vertical="center"/>
    </xf>
    <xf numFmtId="0" fontId="13" fillId="0" borderId="1" xfId="266" applyFont="1" applyBorder="1" applyAlignment="1">
      <alignment horizontal="center" vertical="center"/>
    </xf>
    <xf numFmtId="0" fontId="13" fillId="0" borderId="1" xfId="266" applyFont="1" applyBorder="1" applyAlignment="1">
      <alignment horizontal="left" vertical="center" wrapText="1"/>
    </xf>
    <xf numFmtId="0" fontId="13" fillId="0" borderId="1" xfId="10" applyFont="1" applyFill="1" applyBorder="1" applyAlignment="1">
      <alignment horizontal="left" vertical="center" wrapText="1"/>
    </xf>
    <xf numFmtId="0" fontId="13" fillId="0" borderId="1" xfId="10" applyFont="1" applyFill="1" applyBorder="1" applyAlignment="1">
      <alignment horizontal="center" vertical="center" wrapText="1"/>
    </xf>
    <xf numFmtId="0" fontId="14" fillId="0" borderId="1" xfId="10" applyFont="1" applyFill="1" applyBorder="1" applyAlignment="1">
      <alignment horizontal="left" vertical="center" wrapText="1"/>
    </xf>
    <xf numFmtId="0" fontId="13" fillId="0" borderId="1" xfId="10" applyFont="1" applyFill="1" applyBorder="1" applyAlignment="1">
      <alignment vertical="center" wrapText="1"/>
    </xf>
    <xf numFmtId="0" fontId="13" fillId="0" borderId="1" xfId="10" applyFont="1" applyFill="1" applyBorder="1" applyAlignment="1">
      <alignment horizontal="center" vertical="center"/>
    </xf>
    <xf numFmtId="0" fontId="14" fillId="2" borderId="1" xfId="10" applyFont="1" applyFill="1" applyBorder="1" applyAlignment="1">
      <alignment vertical="center"/>
    </xf>
    <xf numFmtId="0" fontId="14" fillId="0" borderId="0" xfId="10" applyFont="1" applyFill="1" applyBorder="1" applyAlignment="1">
      <alignment horizontal="left" vertical="center"/>
    </xf>
    <xf numFmtId="0" fontId="14" fillId="0" borderId="0" xfId="10" applyFont="1" applyFill="1" applyBorder="1" applyAlignment="1">
      <alignment horizontal="center"/>
    </xf>
    <xf numFmtId="0" fontId="14" fillId="0" borderId="0" xfId="10" applyFont="1" applyFill="1" applyBorder="1" applyAlignment="1">
      <alignment horizontal="center" vertical="center"/>
    </xf>
    <xf numFmtId="0" fontId="14" fillId="0" borderId="1" xfId="10" applyFont="1" applyFill="1" applyBorder="1" applyAlignment="1">
      <alignment horizontal="center" vertical="center"/>
    </xf>
    <xf numFmtId="0" fontId="14" fillId="2" borderId="1" xfId="10" applyFont="1" applyFill="1" applyBorder="1" applyAlignment="1">
      <alignment horizontal="center" vertical="center"/>
    </xf>
    <xf numFmtId="0" fontId="13" fillId="0" borderId="1" xfId="10" applyFont="1" applyFill="1" applyBorder="1" applyAlignment="1">
      <alignment vertical="center"/>
    </xf>
    <xf numFmtId="0" fontId="14" fillId="0" borderId="1" xfId="10" applyFont="1" applyFill="1" applyBorder="1" applyAlignment="1">
      <alignment vertical="center" wrapText="1"/>
    </xf>
    <xf numFmtId="0" fontId="13" fillId="4" borderId="1" xfId="10" applyFont="1" applyFill="1" applyBorder="1" applyAlignment="1">
      <alignment vertical="center"/>
    </xf>
    <xf numFmtId="0" fontId="13" fillId="4" borderId="1" xfId="10" applyFont="1" applyFill="1" applyBorder="1" applyAlignment="1">
      <alignment horizontal="center" vertical="center"/>
    </xf>
    <xf numFmtId="0" fontId="13" fillId="0" borderId="0" xfId="10" applyFont="1" applyFill="1" applyAlignment="1">
      <alignment vertical="center"/>
    </xf>
    <xf numFmtId="0" fontId="41" fillId="0" borderId="0" xfId="10" applyFont="1" applyFill="1" applyBorder="1" applyAlignment="1">
      <alignment horizontal="center" vertical="center"/>
    </xf>
    <xf numFmtId="0" fontId="41" fillId="0" borderId="1" xfId="1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0" xfId="10" applyFont="1" applyFill="1" applyAlignment="1">
      <alignment vertical="center"/>
    </xf>
    <xf numFmtId="0" fontId="41" fillId="0" borderId="1" xfId="10" applyFont="1" applyFill="1" applyBorder="1" applyAlignment="1">
      <alignment horizontal="center" vertical="center"/>
    </xf>
    <xf numFmtId="165" fontId="42" fillId="0" borderId="1" xfId="4" applyFont="1" applyFill="1" applyBorder="1" applyAlignment="1">
      <alignment horizontal="center" vertical="center" wrapText="1"/>
    </xf>
    <xf numFmtId="0" fontId="41" fillId="0" borderId="1" xfId="10" applyFont="1" applyFill="1" applyBorder="1" applyAlignment="1">
      <alignment horizontal="left" vertical="center" wrapText="1"/>
    </xf>
    <xf numFmtId="0" fontId="41" fillId="0" borderId="1" xfId="10" applyFont="1" applyFill="1" applyBorder="1" applyAlignment="1">
      <alignment vertical="center"/>
    </xf>
    <xf numFmtId="2" fontId="41" fillId="0" borderId="1" xfId="10"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13" fillId="0" borderId="1" xfId="0" applyFont="1" applyFill="1" applyBorder="1" applyAlignment="1">
      <alignment horizontal="center" vertical="center"/>
    </xf>
    <xf numFmtId="164" fontId="13" fillId="0" borderId="21" xfId="10" applyNumberFormat="1" applyBorder="1"/>
    <xf numFmtId="0" fontId="45" fillId="0" borderId="1" xfId="10" applyFont="1" applyFill="1" applyBorder="1" applyAlignment="1">
      <alignment horizontal="right" vertical="center" wrapText="1"/>
    </xf>
    <xf numFmtId="3" fontId="13" fillId="0" borderId="1" xfId="10" applyNumberFormat="1" applyFont="1" applyFill="1" applyBorder="1" applyAlignment="1">
      <alignment horizontal="center" vertical="center" wrapText="1"/>
    </xf>
    <xf numFmtId="179" fontId="14" fillId="0" borderId="0" xfId="10" applyNumberFormat="1" applyFont="1" applyFill="1" applyBorder="1" applyAlignment="1">
      <alignment horizontal="center" vertical="center"/>
    </xf>
    <xf numFmtId="164" fontId="13" fillId="0" borderId="0" xfId="14" applyFont="1" applyFill="1" applyAlignment="1">
      <alignment horizontal="center" vertical="center"/>
    </xf>
    <xf numFmtId="43" fontId="14" fillId="0" borderId="1" xfId="10" applyNumberFormat="1" applyFont="1" applyFill="1" applyBorder="1" applyAlignment="1">
      <alignment horizontal="center" vertical="center"/>
    </xf>
    <xf numFmtId="180" fontId="14" fillId="0" borderId="1" xfId="26" applyNumberFormat="1" applyFont="1" applyFill="1" applyBorder="1" applyAlignment="1">
      <alignment horizontal="center" vertical="center"/>
    </xf>
    <xf numFmtId="164" fontId="14" fillId="0" borderId="0" xfId="14" applyFont="1" applyFill="1" applyBorder="1" applyAlignment="1">
      <alignment horizontal="center" vertical="center"/>
    </xf>
    <xf numFmtId="164" fontId="13" fillId="2" borderId="1" xfId="26" applyFont="1" applyFill="1" applyBorder="1" applyAlignment="1">
      <alignment horizontal="center" vertical="center"/>
    </xf>
    <xf numFmtId="164" fontId="14" fillId="2" borderId="1" xfId="26" applyFont="1" applyFill="1" applyBorder="1" applyAlignment="1">
      <alignment horizontal="center" vertical="center"/>
    </xf>
    <xf numFmtId="164" fontId="14" fillId="2" borderId="1" xfId="14" applyFont="1" applyFill="1" applyBorder="1" applyAlignment="1">
      <alignment horizontal="center" vertical="center"/>
    </xf>
    <xf numFmtId="164" fontId="13" fillId="0" borderId="1" xfId="14" applyFont="1" applyFill="1" applyBorder="1" applyAlignment="1">
      <alignment horizontal="center" vertical="center"/>
    </xf>
    <xf numFmtId="164" fontId="41" fillId="0" borderId="1" xfId="14" applyFont="1" applyFill="1" applyBorder="1" applyAlignment="1">
      <alignment horizontal="center" vertical="center"/>
    </xf>
    <xf numFmtId="164" fontId="14" fillId="0" borderId="1" xfId="14" applyFont="1" applyFill="1" applyBorder="1" applyAlignment="1">
      <alignment horizontal="center" vertical="center" wrapText="1"/>
    </xf>
    <xf numFmtId="164" fontId="43" fillId="0" borderId="0" xfId="26" applyFont="1" applyFill="1" applyBorder="1" applyAlignment="1">
      <alignment horizontal="center" vertical="center"/>
    </xf>
    <xf numFmtId="164" fontId="13" fillId="0" borderId="0" xfId="14" applyFont="1" applyFill="1" applyBorder="1" applyAlignment="1">
      <alignment horizontal="center" vertical="center"/>
    </xf>
    <xf numFmtId="164" fontId="44" fillId="2" borderId="1" xfId="26" applyFont="1" applyFill="1" applyBorder="1" applyAlignment="1">
      <alignment horizontal="center" vertical="center"/>
    </xf>
    <xf numFmtId="164" fontId="43" fillId="0" borderId="1" xfId="14" applyFont="1" applyFill="1" applyBorder="1" applyAlignment="1">
      <alignment horizontal="center" vertical="center"/>
    </xf>
    <xf numFmtId="164" fontId="41" fillId="0" borderId="0" xfId="26" applyFont="1" applyFill="1" applyBorder="1" applyAlignment="1">
      <alignment horizontal="center" vertical="center"/>
    </xf>
    <xf numFmtId="164" fontId="45" fillId="2" borderId="1" xfId="26" applyFont="1" applyFill="1" applyBorder="1" applyAlignment="1">
      <alignment horizontal="center" vertical="center"/>
    </xf>
    <xf numFmtId="164" fontId="14" fillId="3" borderId="1" xfId="26" applyFont="1" applyFill="1" applyBorder="1" applyAlignment="1">
      <alignment horizontal="center" vertical="center"/>
    </xf>
    <xf numFmtId="49" fontId="14" fillId="2" borderId="23" xfId="10" applyNumberFormat="1" applyFont="1" applyFill="1" applyBorder="1" applyAlignment="1">
      <alignment horizontal="center" vertical="center"/>
    </xf>
    <xf numFmtId="49" fontId="45" fillId="2" borderId="26" xfId="10" applyNumberFormat="1" applyFont="1" applyFill="1" applyBorder="1" applyAlignment="1">
      <alignment horizontal="center" vertical="center"/>
    </xf>
    <xf numFmtId="0" fontId="13" fillId="2" borderId="1" xfId="10" applyFont="1" applyFill="1" applyBorder="1" applyAlignment="1">
      <alignment horizontal="center" vertical="center"/>
    </xf>
    <xf numFmtId="164" fontId="41" fillId="0" borderId="0" xfId="26" applyFont="1" applyFill="1" applyAlignment="1">
      <alignment horizontal="center" vertical="center"/>
    </xf>
    <xf numFmtId="0" fontId="41" fillId="0" borderId="0" xfId="10" applyFont="1" applyFill="1" applyAlignment="1">
      <alignment horizontal="center" vertical="center"/>
    </xf>
    <xf numFmtId="0" fontId="14" fillId="0" borderId="0" xfId="10" applyFont="1" applyFill="1" applyAlignment="1">
      <alignment horizontal="center" vertical="center"/>
    </xf>
    <xf numFmtId="0" fontId="41" fillId="4" borderId="1" xfId="10" applyFont="1" applyFill="1" applyBorder="1" applyAlignment="1">
      <alignment horizontal="center" vertical="center"/>
    </xf>
    <xf numFmtId="0" fontId="41" fillId="0" borderId="1" xfId="10" applyFont="1" applyFill="1" applyBorder="1" applyAlignment="1">
      <alignment vertical="center" wrapText="1"/>
    </xf>
    <xf numFmtId="0" fontId="45" fillId="4" borderId="1" xfId="10" applyFont="1" applyFill="1" applyBorder="1" applyAlignment="1">
      <alignment horizontal="center" vertical="center"/>
    </xf>
    <xf numFmtId="0" fontId="45" fillId="0" borderId="1" xfId="10" applyFont="1" applyFill="1" applyBorder="1" applyAlignment="1">
      <alignment horizontal="center" vertical="center"/>
    </xf>
    <xf numFmtId="0" fontId="41" fillId="0" borderId="1" xfId="229" applyFont="1" applyFill="1" applyBorder="1" applyAlignment="1">
      <alignment horizontal="center" vertical="center"/>
    </xf>
    <xf numFmtId="0" fontId="45" fillId="0" borderId="1" xfId="10" applyFont="1" applyFill="1" applyBorder="1" applyAlignment="1">
      <alignment vertical="center" wrapText="1"/>
    </xf>
    <xf numFmtId="0" fontId="45" fillId="0" borderId="1" xfId="10" applyFont="1" applyFill="1" applyBorder="1" applyAlignment="1">
      <alignment horizontal="center" vertical="center" wrapText="1"/>
    </xf>
    <xf numFmtId="164" fontId="45" fillId="0" borderId="1" xfId="14" applyFont="1" applyFill="1" applyBorder="1" applyAlignment="1">
      <alignment horizontal="center" vertical="center" wrapText="1"/>
    </xf>
    <xf numFmtId="0" fontId="45" fillId="4" borderId="1" xfId="10" applyFont="1" applyFill="1" applyBorder="1" applyAlignment="1">
      <alignment horizontal="center" vertical="center" wrapText="1"/>
    </xf>
    <xf numFmtId="0" fontId="41" fillId="4" borderId="1" xfId="1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4" borderId="1" xfId="10" applyFont="1" applyFill="1" applyBorder="1" applyAlignment="1">
      <alignment vertical="center"/>
    </xf>
    <xf numFmtId="164" fontId="14" fillId="0" borderId="0" xfId="26" applyFont="1" applyFill="1" applyBorder="1" applyAlignment="1">
      <alignment horizontal="center" vertical="center" wrapText="1"/>
    </xf>
    <xf numFmtId="4" fontId="13" fillId="0" borderId="0" xfId="10" applyNumberFormat="1" applyFont="1" applyFill="1" applyAlignment="1">
      <alignment horizontal="center" vertical="center"/>
    </xf>
    <xf numFmtId="0" fontId="14" fillId="0" borderId="0" xfId="10" applyFont="1" applyFill="1" applyBorder="1" applyAlignment="1">
      <alignment vertical="center" wrapText="1"/>
    </xf>
    <xf numFmtId="0" fontId="13" fillId="0" borderId="0" xfId="10" applyFont="1" applyFill="1" applyAlignment="1">
      <alignment horizontal="left" vertical="center" wrapText="1"/>
    </xf>
    <xf numFmtId="0" fontId="14" fillId="0" borderId="0" xfId="10" applyFont="1" applyFill="1" applyBorder="1" applyAlignment="1">
      <alignment horizontal="left" vertical="center" wrapText="1"/>
    </xf>
    <xf numFmtId="0" fontId="14" fillId="8" borderId="1" xfId="10" applyFont="1" applyFill="1" applyBorder="1" applyAlignment="1">
      <alignment vertical="center" wrapText="1"/>
    </xf>
    <xf numFmtId="0" fontId="14" fillId="2" borderId="1" xfId="10" applyFont="1" applyFill="1" applyBorder="1" applyAlignment="1">
      <alignment vertical="center" wrapText="1"/>
    </xf>
    <xf numFmtId="49" fontId="14" fillId="2" borderId="23" xfId="10" applyNumberFormat="1" applyFont="1" applyFill="1" applyBorder="1" applyAlignment="1">
      <alignment vertical="center" wrapText="1"/>
    </xf>
    <xf numFmtId="0" fontId="13" fillId="0" borderId="0" xfId="10" applyFont="1" applyFill="1" applyAlignment="1">
      <alignment vertical="center" wrapText="1"/>
    </xf>
    <xf numFmtId="0" fontId="14" fillId="0" borderId="0" xfId="10" applyFont="1" applyFill="1" applyBorder="1" applyAlignment="1">
      <alignment horizontal="right" vertical="center" wrapText="1"/>
    </xf>
    <xf numFmtId="0" fontId="41" fillId="0" borderId="1" xfId="0" applyNumberFormat="1" applyFont="1" applyBorder="1" applyAlignment="1">
      <alignment horizontal="center" vertical="center"/>
    </xf>
    <xf numFmtId="0" fontId="41" fillId="0" borderId="26" xfId="0" applyFont="1" applyBorder="1" applyAlignment="1">
      <alignment horizontal="left" vertical="center" wrapText="1"/>
    </xf>
    <xf numFmtId="0" fontId="14" fillId="0" borderId="0" xfId="10" applyFont="1"/>
    <xf numFmtId="164" fontId="13" fillId="4" borderId="1" xfId="14" applyFont="1" applyFill="1" applyBorder="1" applyAlignment="1">
      <alignment horizontal="center" vertical="center"/>
    </xf>
    <xf numFmtId="0" fontId="14" fillId="0" borderId="0" xfId="10" applyFont="1" applyFill="1" applyAlignment="1">
      <alignment horizontal="right" vertical="center"/>
    </xf>
    <xf numFmtId="10" fontId="46" fillId="0" borderId="1" xfId="11" applyNumberFormat="1" applyFont="1" applyBorder="1"/>
    <xf numFmtId="0" fontId="41" fillId="0" borderId="1" xfId="10" applyFont="1" applyBorder="1"/>
    <xf numFmtId="165" fontId="42" fillId="0" borderId="1" xfId="4" applyFont="1" applyFill="1" applyBorder="1" applyAlignment="1">
      <alignment horizontal="center" vertical="center" wrapText="1"/>
    </xf>
    <xf numFmtId="0" fontId="41" fillId="0" borderId="1" xfId="219" applyFont="1" applyFill="1" applyBorder="1" applyAlignment="1">
      <alignment horizontal="center" vertical="center"/>
    </xf>
    <xf numFmtId="0" fontId="41" fillId="0" borderId="1" xfId="258" applyFont="1" applyFill="1" applyBorder="1" applyAlignment="1">
      <alignment horizontal="left" vertical="center" wrapText="1"/>
    </xf>
    <xf numFmtId="0" fontId="41" fillId="0" borderId="1" xfId="10" applyFont="1" applyFill="1" applyBorder="1" applyAlignment="1">
      <alignment vertical="center" wrapText="1"/>
    </xf>
    <xf numFmtId="43" fontId="13" fillId="0" borderId="0" xfId="10" applyNumberFormat="1" applyFont="1" applyFill="1" applyAlignment="1">
      <alignment vertical="center"/>
    </xf>
    <xf numFmtId="164" fontId="41" fillId="0" borderId="1" xfId="14" applyFont="1" applyFill="1" applyBorder="1" applyAlignment="1">
      <alignment horizontal="center" vertical="center"/>
    </xf>
    <xf numFmtId="0" fontId="13" fillId="0" borderId="0" xfId="1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263" applyFont="1" applyFill="1" applyBorder="1" applyAlignment="1">
      <alignment horizontal="center" vertical="center"/>
    </xf>
    <xf numFmtId="0" fontId="13" fillId="0" borderId="1" xfId="10" applyFont="1" applyFill="1" applyBorder="1" applyAlignment="1">
      <alignment horizontal="left" vertical="center" wrapText="1"/>
    </xf>
    <xf numFmtId="0" fontId="13" fillId="0" borderId="1" xfId="10" applyFont="1" applyFill="1" applyBorder="1" applyAlignment="1">
      <alignment horizontal="center" vertical="center" wrapText="1"/>
    </xf>
    <xf numFmtId="0" fontId="13" fillId="0" borderId="1" xfId="10" applyFont="1" applyFill="1" applyBorder="1" applyAlignment="1">
      <alignment horizontal="center" vertical="center"/>
    </xf>
    <xf numFmtId="0" fontId="13" fillId="0" borderId="0" xfId="10" applyFont="1" applyFill="1" applyAlignment="1">
      <alignment vertical="center"/>
    </xf>
    <xf numFmtId="0" fontId="41" fillId="0" borderId="1" xfId="10" applyFont="1" applyFill="1" applyBorder="1" applyAlignment="1">
      <alignment horizontal="center" vertical="center"/>
    </xf>
    <xf numFmtId="164" fontId="13" fillId="0" borderId="1" xfId="14" applyFont="1" applyFill="1" applyBorder="1" applyAlignment="1">
      <alignment horizontal="center" vertical="center"/>
    </xf>
    <xf numFmtId="164" fontId="41" fillId="0" borderId="1" xfId="14" applyFont="1" applyFill="1" applyBorder="1" applyAlignment="1">
      <alignment horizontal="center" vertical="center"/>
    </xf>
    <xf numFmtId="0" fontId="1" fillId="0" borderId="0" xfId="361" applyNumberFormat="1" applyAlignment="1">
      <alignment vertical="top" wrapText="1"/>
    </xf>
    <xf numFmtId="0" fontId="1" fillId="0" borderId="0" xfId="361" applyAlignment="1">
      <alignment vertical="top" wrapText="1"/>
    </xf>
    <xf numFmtId="181" fontId="1" fillId="0" borderId="0" xfId="361" applyNumberFormat="1"/>
    <xf numFmtId="4" fontId="1" fillId="0" borderId="0" xfId="361" applyNumberFormat="1" applyAlignment="1">
      <alignment horizontal="right"/>
    </xf>
    <xf numFmtId="4" fontId="1" fillId="0" borderId="0" xfId="361" applyNumberFormat="1"/>
    <xf numFmtId="0" fontId="1" fillId="0" borderId="0" xfId="361"/>
    <xf numFmtId="0" fontId="1" fillId="0" borderId="29" xfId="361" applyNumberFormat="1" applyBorder="1" applyAlignment="1">
      <alignment vertical="top" wrapText="1"/>
    </xf>
    <xf numFmtId="0" fontId="1" fillId="0" borderId="29" xfId="361" applyBorder="1" applyAlignment="1">
      <alignment vertical="top" wrapText="1"/>
    </xf>
    <xf numFmtId="181" fontId="1" fillId="0" borderId="29" xfId="361" applyNumberFormat="1" applyBorder="1" applyAlignment="1">
      <alignment horizontal="right"/>
    </xf>
    <xf numFmtId="4" fontId="1" fillId="0" borderId="29" xfId="361" applyNumberFormat="1" applyBorder="1" applyAlignment="1">
      <alignment horizontal="right"/>
    </xf>
    <xf numFmtId="0" fontId="1" fillId="0" borderId="30" xfId="361" applyNumberFormat="1" applyBorder="1" applyAlignment="1">
      <alignment vertical="top" wrapText="1"/>
    </xf>
    <xf numFmtId="0" fontId="1" fillId="0" borderId="30" xfId="361" applyBorder="1" applyAlignment="1">
      <alignment vertical="top" wrapText="1"/>
    </xf>
    <xf numFmtId="181" fontId="1" fillId="0" borderId="30" xfId="361" applyNumberFormat="1" applyBorder="1"/>
    <xf numFmtId="4" fontId="1" fillId="0" borderId="30" xfId="361" applyNumberFormat="1" applyBorder="1" applyAlignment="1">
      <alignment horizontal="right"/>
    </xf>
    <xf numFmtId="4" fontId="1" fillId="0" borderId="30" xfId="361" applyNumberFormat="1" applyBorder="1"/>
    <xf numFmtId="0" fontId="1" fillId="0" borderId="31" xfId="361" applyNumberFormat="1" applyBorder="1" applyAlignment="1">
      <alignment vertical="top" wrapText="1"/>
    </xf>
    <xf numFmtId="0" fontId="1" fillId="0" borderId="31" xfId="361" applyBorder="1" applyAlignment="1">
      <alignment vertical="top" wrapText="1"/>
    </xf>
    <xf numFmtId="181" fontId="1" fillId="0" borderId="31" xfId="361" applyNumberFormat="1" applyBorder="1"/>
    <xf numFmtId="4" fontId="1" fillId="0" borderId="31" xfId="361" applyNumberFormat="1" applyBorder="1" applyAlignment="1">
      <alignment horizontal="right"/>
    </xf>
    <xf numFmtId="4" fontId="1" fillId="0" borderId="31" xfId="361" applyNumberFormat="1" applyBorder="1"/>
    <xf numFmtId="4" fontId="45" fillId="0" borderId="31" xfId="361" applyNumberFormat="1" applyFont="1" applyBorder="1" applyAlignment="1">
      <alignment horizontal="right"/>
    </xf>
    <xf numFmtId="4" fontId="45" fillId="0" borderId="31" xfId="361" applyNumberFormat="1" applyFont="1" applyBorder="1"/>
    <xf numFmtId="0" fontId="1" fillId="0" borderId="23" xfId="361" applyNumberFormat="1" applyBorder="1" applyAlignment="1">
      <alignment vertical="top" wrapText="1"/>
    </xf>
    <xf numFmtId="0" fontId="1" fillId="0" borderId="23" xfId="361" applyBorder="1" applyAlignment="1">
      <alignment vertical="top" wrapText="1"/>
    </xf>
    <xf numFmtId="181" fontId="1" fillId="0" borderId="23" xfId="361" applyNumberFormat="1" applyBorder="1" applyAlignment="1">
      <alignment horizontal="right"/>
    </xf>
    <xf numFmtId="4" fontId="1" fillId="0" borderId="23" xfId="361" applyNumberFormat="1" applyBorder="1" applyAlignment="1">
      <alignment horizontal="right"/>
    </xf>
    <xf numFmtId="4" fontId="45" fillId="0" borderId="31" xfId="0" applyNumberFormat="1" applyFont="1" applyBorder="1" applyAlignment="1">
      <alignment horizontal="right"/>
    </xf>
    <xf numFmtId="4" fontId="45" fillId="0" borderId="31" xfId="0" applyNumberFormat="1" applyFont="1" applyBorder="1"/>
    <xf numFmtId="0" fontId="48" fillId="0" borderId="30" xfId="0" applyNumberFormat="1" applyFont="1" applyBorder="1" applyAlignment="1">
      <alignment vertical="top" wrapText="1"/>
    </xf>
    <xf numFmtId="0" fontId="48" fillId="0" borderId="30" xfId="0" applyFont="1" applyBorder="1" applyAlignment="1">
      <alignment vertical="top" wrapText="1"/>
    </xf>
    <xf numFmtId="181" fontId="48" fillId="0" borderId="30" xfId="0" applyNumberFormat="1" applyFont="1" applyBorder="1"/>
    <xf numFmtId="4" fontId="48" fillId="0" borderId="30" xfId="0" applyNumberFormat="1" applyFont="1" applyBorder="1" applyAlignment="1">
      <alignment horizontal="right"/>
    </xf>
    <xf numFmtId="4" fontId="48" fillId="0" borderId="30" xfId="0" applyNumberFormat="1" applyFont="1" applyBorder="1"/>
    <xf numFmtId="0" fontId="48" fillId="0" borderId="0" xfId="0" applyFont="1"/>
    <xf numFmtId="0" fontId="48" fillId="0" borderId="31" xfId="0" applyNumberFormat="1" applyFont="1" applyBorder="1" applyAlignment="1">
      <alignment vertical="top" wrapText="1"/>
    </xf>
    <xf numFmtId="0" fontId="48" fillId="0" borderId="31" xfId="0" applyFont="1" applyBorder="1" applyAlignment="1">
      <alignment vertical="top" wrapText="1"/>
    </xf>
    <xf numFmtId="181" fontId="48" fillId="0" borderId="31" xfId="0" applyNumberFormat="1" applyFont="1" applyBorder="1"/>
    <xf numFmtId="4" fontId="48" fillId="0" borderId="31" xfId="0" applyNumberFormat="1" applyFont="1" applyBorder="1" applyAlignment="1">
      <alignment horizontal="right"/>
    </xf>
    <xf numFmtId="4" fontId="48" fillId="0" borderId="31" xfId="0" applyNumberFormat="1" applyFont="1" applyBorder="1"/>
    <xf numFmtId="0" fontId="1" fillId="0" borderId="0" xfId="361" applyNumberFormat="1" applyFill="1" applyAlignment="1">
      <alignment vertical="top" wrapText="1"/>
    </xf>
    <xf numFmtId="0" fontId="48" fillId="0" borderId="0" xfId="0" applyFont="1" applyAlignment="1">
      <alignment wrapText="1"/>
    </xf>
    <xf numFmtId="0" fontId="1" fillId="0" borderId="23" xfId="361" applyNumberFormat="1" applyFill="1" applyBorder="1" applyAlignment="1">
      <alignment vertical="top" wrapText="1"/>
    </xf>
    <xf numFmtId="0" fontId="1" fillId="0" borderId="30" xfId="361" applyNumberFormat="1" applyFill="1" applyBorder="1" applyAlignment="1">
      <alignment vertical="top" wrapText="1"/>
    </xf>
    <xf numFmtId="0" fontId="1" fillId="0" borderId="31" xfId="361" applyNumberFormat="1" applyFill="1" applyBorder="1" applyAlignment="1">
      <alignment vertical="top" wrapText="1"/>
    </xf>
    <xf numFmtId="0" fontId="1" fillId="0" borderId="29" xfId="361" applyNumberFormat="1" applyFill="1" applyBorder="1" applyAlignment="1">
      <alignment vertical="top" wrapText="1"/>
    </xf>
    <xf numFmtId="164" fontId="13" fillId="0" borderId="0" xfId="14" applyFont="1" applyFill="1" applyAlignment="1">
      <alignment vertical="center"/>
    </xf>
    <xf numFmtId="164" fontId="41" fillId="0" borderId="0" xfId="14" applyFont="1" applyFill="1" applyAlignment="1">
      <alignment vertical="center"/>
    </xf>
    <xf numFmtId="164" fontId="13" fillId="4" borderId="0" xfId="14" applyFont="1" applyFill="1" applyAlignment="1">
      <alignment vertical="center"/>
    </xf>
    <xf numFmtId="164" fontId="13" fillId="0" borderId="0" xfId="14" applyFont="1" applyAlignment="1">
      <alignment vertical="center"/>
    </xf>
    <xf numFmtId="4" fontId="13" fillId="0" borderId="1" xfId="10" applyNumberFormat="1" applyFont="1" applyFill="1" applyBorder="1" applyAlignment="1">
      <alignment horizontal="center" vertical="center" wrapText="1"/>
    </xf>
    <xf numFmtId="0" fontId="0" fillId="0" borderId="0" xfId="0" applyNumberFormat="1" applyAlignment="1">
      <alignment horizontal="left" vertical="top" wrapText="1"/>
    </xf>
    <xf numFmtId="0" fontId="0" fillId="0" borderId="0" xfId="0" applyAlignment="1">
      <alignment vertical="top" wrapText="1"/>
    </xf>
    <xf numFmtId="181" fontId="0" fillId="0" borderId="0" xfId="0" applyNumberFormat="1"/>
    <xf numFmtId="4" fontId="0" fillId="0" borderId="0" xfId="0" applyNumberFormat="1" applyAlignment="1">
      <alignment horizontal="right"/>
    </xf>
    <xf numFmtId="4" fontId="0" fillId="0" borderId="0" xfId="0" applyNumberFormat="1"/>
    <xf numFmtId="0" fontId="49" fillId="0" borderId="32" xfId="363" applyFont="1" applyFill="1" applyBorder="1" applyAlignment="1">
      <alignment vertical="center"/>
    </xf>
    <xf numFmtId="0" fontId="49" fillId="0" borderId="29" xfId="363" applyFont="1" applyFill="1" applyBorder="1" applyAlignment="1">
      <alignment vertical="center"/>
    </xf>
    <xf numFmtId="0" fontId="49" fillId="0" borderId="33" xfId="363" applyFont="1" applyFill="1" applyBorder="1" applyAlignment="1">
      <alignment vertical="center"/>
    </xf>
    <xf numFmtId="0" fontId="49" fillId="0" borderId="36" xfId="0" applyFont="1" applyFill="1" applyBorder="1" applyAlignment="1">
      <alignment vertical="center"/>
    </xf>
    <xf numFmtId="49" fontId="49" fillId="0" borderId="37" xfId="0" applyNumberFormat="1" applyFont="1" applyFill="1" applyBorder="1" applyAlignment="1">
      <alignment vertical="center"/>
    </xf>
    <xf numFmtId="181" fontId="49" fillId="0" borderId="37" xfId="14" applyNumberFormat="1" applyFont="1" applyFill="1" applyBorder="1" applyAlignment="1">
      <alignment vertical="center"/>
    </xf>
    <xf numFmtId="4" fontId="49" fillId="0" borderId="37" xfId="14" applyNumberFormat="1" applyFont="1" applyFill="1" applyBorder="1" applyAlignment="1">
      <alignment vertical="center"/>
    </xf>
    <xf numFmtId="4" fontId="49" fillId="0" borderId="38" xfId="14" applyNumberFormat="1" applyFont="1" applyFill="1" applyBorder="1" applyAlignment="1">
      <alignment horizontal="right" vertical="center"/>
    </xf>
    <xf numFmtId="3" fontId="49" fillId="0" borderId="0" xfId="363" applyNumberFormat="1" applyFont="1" applyFill="1" applyBorder="1" applyAlignment="1">
      <alignment vertical="center" wrapText="1"/>
    </xf>
    <xf numFmtId="3" fontId="49" fillId="0" borderId="35" xfId="363" applyNumberFormat="1" applyFont="1" applyFill="1" applyBorder="1" applyAlignment="1">
      <alignment vertical="center" wrapText="1"/>
    </xf>
    <xf numFmtId="3" fontId="49" fillId="0" borderId="34" xfId="363" applyNumberFormat="1" applyFont="1" applyFill="1" applyBorder="1" applyAlignment="1">
      <alignment vertical="center"/>
    </xf>
    <xf numFmtId="0" fontId="13" fillId="0" borderId="0" xfId="10" applyFont="1" applyProtection="1"/>
    <xf numFmtId="0" fontId="14" fillId="0" borderId="0" xfId="10" applyFont="1" applyAlignment="1" applyProtection="1">
      <alignment horizontal="center"/>
    </xf>
    <xf numFmtId="0" fontId="13" fillId="0" borderId="0" xfId="10" applyFont="1" applyAlignment="1" applyProtection="1">
      <alignment horizontal="center"/>
    </xf>
    <xf numFmtId="0" fontId="14" fillId="0" borderId="1" xfId="10" applyFont="1" applyBorder="1" applyAlignment="1" applyProtection="1">
      <alignment horizontal="center"/>
    </xf>
    <xf numFmtId="10" fontId="47" fillId="0" borderId="1" xfId="10" applyNumberFormat="1" applyFont="1" applyFill="1" applyBorder="1" applyAlignment="1" applyProtection="1">
      <alignment horizontal="center"/>
    </xf>
    <xf numFmtId="0" fontId="51" fillId="0" borderId="0" xfId="10" applyFont="1" applyAlignment="1" applyProtection="1">
      <alignment horizontal="center"/>
    </xf>
    <xf numFmtId="0" fontId="53" fillId="0" borderId="0" xfId="10" applyFont="1" applyAlignment="1" applyProtection="1"/>
    <xf numFmtId="0" fontId="14" fillId="0" borderId="0" xfId="10" applyFont="1" applyProtection="1"/>
    <xf numFmtId="0" fontId="14" fillId="0" borderId="1" xfId="10" applyFont="1" applyFill="1" applyBorder="1" applyAlignment="1" applyProtection="1">
      <alignment horizontal="center" vertical="center" wrapText="1"/>
    </xf>
    <xf numFmtId="0" fontId="54" fillId="0" borderId="1" xfId="10" applyFont="1" applyFill="1" applyBorder="1" applyAlignment="1" applyProtection="1">
      <alignment horizontal="center" vertical="center"/>
    </xf>
    <xf numFmtId="0" fontId="14" fillId="0" borderId="1" xfId="10" applyFont="1" applyFill="1" applyBorder="1" applyAlignment="1" applyProtection="1">
      <alignment horizontal="center" vertical="center"/>
    </xf>
    <xf numFmtId="0" fontId="55" fillId="0" borderId="1" xfId="10" applyFont="1" applyBorder="1" applyAlignment="1" applyProtection="1">
      <alignment horizontal="center" vertical="center"/>
    </xf>
    <xf numFmtId="10" fontId="55" fillId="9" borderId="1" xfId="10" applyNumberFormat="1" applyFont="1" applyFill="1" applyBorder="1" applyAlignment="1" applyProtection="1">
      <alignment horizontal="center" vertical="center"/>
      <protection locked="0"/>
    </xf>
    <xf numFmtId="4" fontId="54" fillId="0" borderId="1" xfId="10" applyNumberFormat="1" applyFont="1" applyFill="1" applyBorder="1" applyAlignment="1" applyProtection="1">
      <alignment horizontal="center" vertical="center"/>
    </xf>
    <xf numFmtId="10" fontId="55" fillId="0" borderId="1" xfId="10" applyNumberFormat="1" applyFont="1" applyFill="1" applyBorder="1" applyAlignment="1" applyProtection="1">
      <alignment horizontal="center" vertical="center"/>
    </xf>
    <xf numFmtId="10" fontId="55" fillId="0" borderId="1" xfId="10" applyNumberFormat="1" applyFont="1" applyFill="1" applyBorder="1" applyAlignment="1" applyProtection="1">
      <alignment horizontal="center" vertical="center" wrapText="1"/>
    </xf>
    <xf numFmtId="0" fontId="55" fillId="0" borderId="1" xfId="10" applyFont="1" applyFill="1" applyBorder="1" applyAlignment="1" applyProtection="1">
      <alignment horizontal="center" vertical="center" wrapText="1"/>
    </xf>
    <xf numFmtId="0" fontId="50" fillId="0" borderId="0" xfId="10" applyFont="1" applyFill="1" applyBorder="1" applyAlignment="1" applyProtection="1">
      <alignment horizontal="center" vertical="center" wrapText="1"/>
    </xf>
    <xf numFmtId="10" fontId="50" fillId="0" borderId="0" xfId="10" applyNumberFormat="1" applyFont="1" applyFill="1" applyBorder="1" applyAlignment="1" applyProtection="1">
      <alignment horizontal="center" vertical="center"/>
    </xf>
    <xf numFmtId="4" fontId="54" fillId="0" borderId="0" xfId="10" applyNumberFormat="1" applyFont="1" applyFill="1" applyBorder="1" applyAlignment="1" applyProtection="1">
      <alignment horizontal="center" vertical="center"/>
    </xf>
    <xf numFmtId="0" fontId="13" fillId="0" borderId="0" xfId="10" applyFont="1" applyBorder="1" applyAlignment="1" applyProtection="1">
      <alignment horizontal="center" vertical="top"/>
    </xf>
    <xf numFmtId="0" fontId="59" fillId="0" borderId="0" xfId="10" applyFont="1" applyBorder="1" applyAlignment="1" applyProtection="1">
      <alignment horizontal="center" vertical="top"/>
    </xf>
    <xf numFmtId="0" fontId="13" fillId="0" borderId="0" xfId="10" applyFont="1" applyAlignment="1" applyProtection="1">
      <alignment horizontal="left"/>
    </xf>
    <xf numFmtId="183" fontId="13" fillId="0" borderId="0" xfId="10" applyNumberFormat="1" applyFont="1" applyAlignment="1" applyProtection="1"/>
    <xf numFmtId="0" fontId="55" fillId="0" borderId="0" xfId="10" applyFont="1" applyBorder="1" applyProtection="1"/>
    <xf numFmtId="0" fontId="13" fillId="0" borderId="0" xfId="10" applyFont="1" applyBorder="1" applyProtection="1"/>
    <xf numFmtId="0" fontId="14" fillId="0" borderId="0" xfId="364" applyFont="1" applyBorder="1" applyAlignment="1" applyProtection="1">
      <alignment horizontal="left" vertical="top"/>
    </xf>
    <xf numFmtId="0" fontId="55" fillId="0" borderId="0" xfId="10" applyFont="1" applyProtection="1"/>
    <xf numFmtId="0" fontId="55" fillId="0" borderId="0" xfId="10" applyFont="1" applyAlignment="1" applyProtection="1">
      <alignment vertical="top"/>
    </xf>
    <xf numFmtId="0" fontId="1" fillId="0" borderId="39" xfId="361" applyNumberFormat="1" applyBorder="1" applyAlignment="1">
      <alignment vertical="top" wrapText="1"/>
    </xf>
    <xf numFmtId="0" fontId="1" fillId="0" borderId="39" xfId="361" applyBorder="1" applyAlignment="1">
      <alignment vertical="top" wrapText="1"/>
    </xf>
    <xf numFmtId="181" fontId="1" fillId="0" borderId="39" xfId="361" applyNumberFormat="1" applyBorder="1"/>
    <xf numFmtId="4" fontId="1" fillId="0" borderId="39" xfId="361" applyNumberFormat="1" applyBorder="1" applyAlignment="1">
      <alignment horizontal="right"/>
    </xf>
    <xf numFmtId="4" fontId="1" fillId="0" borderId="39" xfId="361" applyNumberFormat="1" applyBorder="1"/>
    <xf numFmtId="0" fontId="1" fillId="0" borderId="12" xfId="361" applyNumberFormat="1" applyBorder="1" applyAlignment="1">
      <alignment vertical="top" wrapText="1"/>
    </xf>
    <xf numFmtId="0" fontId="1" fillId="0" borderId="1" xfId="361" applyBorder="1" applyAlignment="1">
      <alignment vertical="top" wrapText="1"/>
    </xf>
    <xf numFmtId="181" fontId="1" fillId="0" borderId="1" xfId="361" applyNumberFormat="1" applyBorder="1" applyAlignment="1">
      <alignment horizontal="right"/>
    </xf>
    <xf numFmtId="4" fontId="1" fillId="0" borderId="1" xfId="361" applyNumberFormat="1" applyBorder="1" applyAlignment="1">
      <alignment horizontal="right"/>
    </xf>
    <xf numFmtId="4" fontId="1" fillId="0" borderId="19" xfId="361" applyNumberFormat="1" applyBorder="1" applyAlignment="1">
      <alignment horizontal="right"/>
    </xf>
    <xf numFmtId="181" fontId="1" fillId="0" borderId="1" xfId="361" applyNumberFormat="1" applyBorder="1"/>
    <xf numFmtId="4" fontId="1" fillId="0" borderId="19" xfId="361" applyNumberFormat="1" applyBorder="1"/>
    <xf numFmtId="0" fontId="1" fillId="0" borderId="20" xfId="361" applyNumberFormat="1" applyBorder="1" applyAlignment="1">
      <alignment vertical="top" wrapText="1"/>
    </xf>
    <xf numFmtId="0" fontId="1" fillId="0" borderId="21" xfId="361" applyBorder="1" applyAlignment="1">
      <alignment vertical="top" wrapText="1"/>
    </xf>
    <xf numFmtId="181" fontId="1" fillId="0" borderId="21" xfId="361" applyNumberFormat="1" applyBorder="1"/>
    <xf numFmtId="4" fontId="45" fillId="0" borderId="21" xfId="361" applyNumberFormat="1" applyFont="1" applyBorder="1" applyAlignment="1">
      <alignment horizontal="right"/>
    </xf>
    <xf numFmtId="4" fontId="45" fillId="0" borderId="22" xfId="361" applyNumberFormat="1" applyFont="1" applyBorder="1"/>
    <xf numFmtId="0" fontId="45" fillId="0" borderId="16" xfId="361" applyNumberFormat="1" applyFont="1" applyBorder="1" applyAlignment="1">
      <alignment vertical="top" wrapText="1"/>
    </xf>
    <xf numFmtId="0" fontId="45" fillId="0" borderId="17" xfId="361" applyFont="1" applyBorder="1" applyAlignment="1">
      <alignment vertical="top" wrapText="1"/>
    </xf>
    <xf numFmtId="181" fontId="45" fillId="0" borderId="17" xfId="361" applyNumberFormat="1" applyFont="1" applyBorder="1"/>
    <xf numFmtId="4" fontId="45" fillId="0" borderId="17" xfId="361" applyNumberFormat="1" applyFont="1" applyBorder="1" applyAlignment="1">
      <alignment horizontal="right"/>
    </xf>
    <xf numFmtId="4" fontId="45" fillId="0" borderId="18" xfId="361" applyNumberFormat="1" applyFont="1" applyBorder="1"/>
    <xf numFmtId="4" fontId="0" fillId="0" borderId="0" xfId="0" applyNumberFormat="1" applyAlignment="1">
      <alignment horizontal="left" wrapText="1"/>
    </xf>
    <xf numFmtId="4" fontId="0" fillId="0" borderId="0" xfId="0" applyNumberFormat="1" applyAlignment="1">
      <alignment horizontal="left" wrapText="1"/>
    </xf>
    <xf numFmtId="0" fontId="1" fillId="0" borderId="1" xfId="10" applyFont="1" applyFill="1" applyBorder="1" applyAlignment="1">
      <alignment horizontal="left" vertical="center" wrapText="1"/>
    </xf>
    <xf numFmtId="4" fontId="0" fillId="0" borderId="0" xfId="0" applyNumberFormat="1" applyAlignment="1">
      <alignment horizontal="center" wrapText="1"/>
    </xf>
    <xf numFmtId="0" fontId="1" fillId="0" borderId="1" xfId="10" applyFont="1" applyFill="1" applyBorder="1" applyAlignment="1">
      <alignment vertical="center" wrapText="1"/>
    </xf>
    <xf numFmtId="4" fontId="0" fillId="0" borderId="0" xfId="0" applyNumberFormat="1" applyAlignment="1">
      <alignment horizontal="left" wrapText="1"/>
    </xf>
    <xf numFmtId="4" fontId="0" fillId="0" borderId="0" xfId="0" applyNumberFormat="1" applyAlignment="1">
      <alignment horizontal="left" wrapText="1"/>
    </xf>
    <xf numFmtId="0" fontId="0" fillId="0" borderId="0" xfId="0" applyAlignment="1">
      <alignment horizontal="left"/>
    </xf>
    <xf numFmtId="4" fontId="0" fillId="0" borderId="0" xfId="0" applyNumberFormat="1" applyAlignment="1">
      <alignment horizontal="center" wrapText="1"/>
    </xf>
    <xf numFmtId="4" fontId="0" fillId="0" borderId="0" xfId="0" applyNumberFormat="1" applyAlignment="1">
      <alignment wrapText="1"/>
    </xf>
    <xf numFmtId="0" fontId="0" fillId="0" borderId="0" xfId="0" applyAlignment="1">
      <alignment horizontal="center"/>
    </xf>
    <xf numFmtId="0" fontId="0" fillId="0" borderId="0" xfId="0" applyAlignment="1">
      <alignment horizontal="left" wrapText="1"/>
    </xf>
    <xf numFmtId="4" fontId="0" fillId="0" borderId="0" xfId="0" applyNumberFormat="1" applyAlignment="1">
      <alignment horizontal="center"/>
    </xf>
    <xf numFmtId="4" fontId="0" fillId="0" borderId="0" xfId="0" applyNumberFormat="1" applyAlignment="1">
      <alignment horizontal="left"/>
    </xf>
    <xf numFmtId="0" fontId="0" fillId="0" borderId="0" xfId="0" applyAlignment="1">
      <alignment horizontal="center" wrapText="1"/>
    </xf>
    <xf numFmtId="0" fontId="14" fillId="0" borderId="0" xfId="10" applyFont="1" applyFill="1" applyAlignment="1">
      <alignment horizontal="left" vertical="center" wrapText="1"/>
    </xf>
    <xf numFmtId="10" fontId="14" fillId="4" borderId="0" xfId="10" applyNumberFormat="1" applyFont="1" applyFill="1" applyBorder="1" applyAlignment="1">
      <alignment horizontal="center" vertical="center"/>
    </xf>
    <xf numFmtId="0" fontId="1" fillId="4" borderId="1" xfId="10" applyFont="1" applyFill="1" applyBorder="1" applyAlignment="1">
      <alignment horizontal="center" vertical="center"/>
    </xf>
    <xf numFmtId="0" fontId="13" fillId="4" borderId="1" xfId="10" applyFont="1" applyFill="1" applyBorder="1" applyAlignment="1">
      <alignment vertical="center" wrapText="1"/>
    </xf>
    <xf numFmtId="164" fontId="1" fillId="0" borderId="1" xfId="14" applyFont="1" applyFill="1" applyBorder="1" applyAlignment="1">
      <alignment horizontal="center" vertical="center"/>
    </xf>
    <xf numFmtId="0" fontId="1" fillId="0" borderId="1" xfId="0" applyFont="1" applyFill="1" applyBorder="1" applyAlignment="1">
      <alignment horizontal="left" vertical="center" wrapText="1"/>
    </xf>
    <xf numFmtId="0" fontId="1" fillId="4" borderId="1" xfId="10" applyFont="1" applyFill="1" applyBorder="1" applyAlignment="1">
      <alignment horizontal="center" vertical="center" wrapText="1"/>
    </xf>
    <xf numFmtId="0" fontId="1" fillId="0" borderId="1" xfId="10" applyFont="1" applyFill="1" applyBorder="1" applyAlignment="1">
      <alignment horizontal="center" vertical="center" wrapText="1"/>
    </xf>
    <xf numFmtId="0" fontId="61" fillId="0" borderId="0" xfId="0" applyFont="1" applyAlignment="1">
      <alignment horizontal="left"/>
    </xf>
    <xf numFmtId="0" fontId="61" fillId="0" borderId="0" xfId="0" applyFont="1" applyAlignment="1">
      <alignment horizontal="center"/>
    </xf>
    <xf numFmtId="4" fontId="61" fillId="0" borderId="0" xfId="0" applyNumberFormat="1" applyFont="1" applyAlignment="1">
      <alignment horizontal="center"/>
    </xf>
    <xf numFmtId="4" fontId="61" fillId="0" borderId="0" xfId="0" applyNumberFormat="1" applyFont="1" applyAlignment="1">
      <alignment horizontal="center" wrapText="1"/>
    </xf>
    <xf numFmtId="0" fontId="14" fillId="0" borderId="5" xfId="10" applyFont="1" applyFill="1" applyBorder="1" applyAlignment="1">
      <alignment horizontal="center" vertical="center" wrapText="1"/>
    </xf>
    <xf numFmtId="0" fontId="14" fillId="0" borderId="6" xfId="10" applyFont="1" applyFill="1" applyBorder="1" applyAlignment="1">
      <alignment horizontal="center" vertical="center" wrapText="1"/>
    </xf>
    <xf numFmtId="0" fontId="14" fillId="0" borderId="0" xfId="10" applyFont="1" applyFill="1" applyBorder="1" applyAlignment="1">
      <alignment horizontal="center" vertical="center" wrapText="1"/>
    </xf>
    <xf numFmtId="0" fontId="14" fillId="0" borderId="8"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14" fillId="0" borderId="11" xfId="10" applyFont="1" applyFill="1" applyBorder="1" applyAlignment="1">
      <alignment horizontal="center" vertical="center" wrapText="1"/>
    </xf>
    <xf numFmtId="164" fontId="14" fillId="0" borderId="0" xfId="26" applyFont="1" applyFill="1" applyBorder="1" applyAlignment="1">
      <alignment horizontal="center" vertical="center" wrapText="1"/>
    </xf>
    <xf numFmtId="0" fontId="14" fillId="8" borderId="28" xfId="10" applyFont="1" applyFill="1" applyBorder="1" applyAlignment="1">
      <alignment horizontal="left" vertical="center"/>
    </xf>
    <xf numFmtId="4" fontId="0" fillId="0" borderId="0" xfId="0" applyNumberFormat="1" applyAlignment="1">
      <alignment horizontal="left" wrapText="1"/>
    </xf>
    <xf numFmtId="0" fontId="0" fillId="0" borderId="0" xfId="0" applyAlignment="1">
      <alignment horizontal="left"/>
    </xf>
    <xf numFmtId="4" fontId="0" fillId="0" borderId="0" xfId="0" applyNumberFormat="1" applyAlignment="1">
      <alignment horizontal="left"/>
    </xf>
    <xf numFmtId="4" fontId="0" fillId="0" borderId="0" xfId="0" applyNumberFormat="1" applyAlignment="1">
      <alignment horizontal="center" wrapText="1"/>
    </xf>
    <xf numFmtId="4" fontId="0" fillId="0" borderId="0" xfId="0" applyNumberFormat="1" applyAlignment="1">
      <alignment wrapText="1"/>
    </xf>
    <xf numFmtId="0" fontId="61" fillId="0" borderId="0" xfId="0" applyFont="1" applyAlignment="1">
      <alignment horizontal="center"/>
    </xf>
    <xf numFmtId="0" fontId="0" fillId="0" borderId="0" xfId="0" applyAlignment="1">
      <alignment horizontal="left" wrapText="1"/>
    </xf>
    <xf numFmtId="0" fontId="14" fillId="0" borderId="9" xfId="10" applyFont="1" applyBorder="1" applyAlignment="1">
      <alignment horizontal="center" vertical="center"/>
    </xf>
    <xf numFmtId="0" fontId="14" fillId="0" borderId="10" xfId="10" applyFont="1" applyBorder="1" applyAlignment="1">
      <alignment horizontal="center" vertical="center"/>
    </xf>
    <xf numFmtId="0" fontId="14" fillId="0" borderId="11" xfId="10" applyFont="1" applyBorder="1" applyAlignment="1">
      <alignment horizontal="center" vertical="center"/>
    </xf>
    <xf numFmtId="0" fontId="14" fillId="0" borderId="13" xfId="10" applyFont="1" applyBorder="1" applyAlignment="1">
      <alignment horizontal="center" vertical="center"/>
    </xf>
    <xf numFmtId="0" fontId="14" fillId="0" borderId="14" xfId="10" applyFont="1" applyBorder="1" applyAlignment="1">
      <alignment horizontal="center" vertical="center"/>
    </xf>
    <xf numFmtId="0" fontId="14" fillId="0" borderId="15" xfId="10" applyFont="1" applyBorder="1" applyAlignment="1">
      <alignment horizontal="center" vertical="center"/>
    </xf>
    <xf numFmtId="0" fontId="13" fillId="5" borderId="13" xfId="10" applyFill="1" applyBorder="1" applyAlignment="1">
      <alignment horizontal="center"/>
    </xf>
    <xf numFmtId="0" fontId="13" fillId="5" borderId="15" xfId="10" applyFill="1" applyBorder="1" applyAlignment="1">
      <alignment horizontal="center"/>
    </xf>
    <xf numFmtId="0" fontId="13" fillId="9" borderId="0" xfId="10" applyNumberFormat="1" applyFont="1" applyFill="1" applyBorder="1" applyAlignment="1" applyProtection="1">
      <alignment horizontal="left"/>
    </xf>
    <xf numFmtId="0" fontId="54" fillId="0" borderId="0" xfId="10" applyFont="1" applyBorder="1" applyAlignment="1" applyProtection="1">
      <alignment horizontal="left" vertical="center"/>
    </xf>
    <xf numFmtId="0" fontId="13" fillId="0" borderId="29" xfId="10" applyFont="1" applyBorder="1" applyAlignment="1" applyProtection="1">
      <alignment horizontal="center" vertical="center"/>
    </xf>
    <xf numFmtId="183" fontId="13" fillId="9" borderId="0" xfId="10" applyNumberFormat="1" applyFont="1" applyFill="1" applyAlignment="1" applyProtection="1">
      <alignment horizontal="left"/>
      <protection locked="0"/>
    </xf>
    <xf numFmtId="0" fontId="13" fillId="9" borderId="0" xfId="10" applyFont="1" applyFill="1" applyBorder="1" applyAlignment="1" applyProtection="1">
      <alignment horizontal="left"/>
    </xf>
    <xf numFmtId="0" fontId="13" fillId="0" borderId="0" xfId="10" applyFont="1" applyBorder="1" applyAlignment="1" applyProtection="1">
      <alignment horizontal="left" vertical="center"/>
    </xf>
    <xf numFmtId="0" fontId="57" fillId="0" borderId="0" xfId="313" applyFont="1" applyBorder="1" applyAlignment="1" applyProtection="1">
      <alignment horizontal="right" vertical="center"/>
    </xf>
    <xf numFmtId="0" fontId="58" fillId="0" borderId="0" xfId="313" applyFont="1" applyBorder="1" applyAlignment="1" applyProtection="1">
      <alignment horizontal="center"/>
    </xf>
    <xf numFmtId="0" fontId="57" fillId="0" borderId="0" xfId="313" quotePrefix="1" applyFont="1" applyBorder="1" applyAlignment="1" applyProtection="1">
      <alignment horizontal="left" vertical="center"/>
    </xf>
    <xf numFmtId="0" fontId="57" fillId="0" borderId="0" xfId="313" applyFont="1" applyBorder="1" applyAlignment="1" applyProtection="1">
      <alignment horizontal="left" vertical="center"/>
    </xf>
    <xf numFmtId="0" fontId="57" fillId="0" borderId="0" xfId="313" applyFont="1" applyBorder="1" applyAlignment="1" applyProtection="1">
      <alignment horizontal="center" vertical="top"/>
    </xf>
    <xf numFmtId="0" fontId="60" fillId="0" borderId="1" xfId="10" applyFont="1" applyBorder="1" applyAlignment="1" applyProtection="1">
      <alignment horizontal="center" vertical="center" wrapText="1"/>
    </xf>
    <xf numFmtId="2" fontId="56" fillId="0" borderId="29" xfId="10" applyNumberFormat="1" applyFont="1" applyFill="1" applyBorder="1" applyAlignment="1" applyProtection="1">
      <alignment horizontal="center" vertical="center"/>
    </xf>
    <xf numFmtId="0" fontId="13" fillId="0" borderId="0" xfId="10" applyFont="1" applyBorder="1" applyAlignment="1" applyProtection="1">
      <alignment horizontal="center" vertical="top"/>
    </xf>
    <xf numFmtId="0" fontId="13" fillId="0" borderId="1" xfId="10" applyFont="1" applyBorder="1" applyAlignment="1" applyProtection="1">
      <alignment horizontal="left" vertical="center" wrapText="1"/>
    </xf>
    <xf numFmtId="0" fontId="13" fillId="0" borderId="1" xfId="10" applyFont="1" applyBorder="1" applyAlignment="1" applyProtection="1">
      <alignment horizontal="left" vertical="center"/>
    </xf>
    <xf numFmtId="0" fontId="50" fillId="0" borderId="0" xfId="10" applyFont="1" applyBorder="1" applyAlignment="1" applyProtection="1">
      <alignment horizontal="left" vertical="center" wrapText="1"/>
    </xf>
    <xf numFmtId="0" fontId="52" fillId="0" borderId="1" xfId="10" applyFont="1" applyFill="1" applyBorder="1" applyAlignment="1" applyProtection="1">
      <alignment horizontal="left" wrapText="1"/>
    </xf>
    <xf numFmtId="10" fontId="52" fillId="9" borderId="1" xfId="10" applyNumberFormat="1" applyFont="1" applyFill="1" applyBorder="1" applyAlignment="1" applyProtection="1">
      <alignment horizontal="center"/>
      <protection locked="0"/>
    </xf>
    <xf numFmtId="0" fontId="52" fillId="0" borderId="1" xfId="10" applyFont="1" applyFill="1" applyBorder="1" applyAlignment="1" applyProtection="1">
      <alignment horizontal="left"/>
    </xf>
    <xf numFmtId="0" fontId="54" fillId="0" borderId="1" xfId="10" applyFont="1" applyBorder="1" applyAlignment="1" applyProtection="1">
      <alignment horizontal="center" vertical="center"/>
    </xf>
    <xf numFmtId="4" fontId="54" fillId="0" borderId="1" xfId="10" applyNumberFormat="1" applyFont="1" applyFill="1" applyBorder="1" applyAlignment="1" applyProtection="1">
      <alignment horizontal="center" vertical="center" wrapText="1"/>
    </xf>
    <xf numFmtId="0" fontId="54" fillId="0" borderId="1" xfId="10" applyFont="1" applyBorder="1" applyAlignment="1" applyProtection="1">
      <alignment horizontal="center"/>
    </xf>
    <xf numFmtId="0" fontId="14" fillId="0" borderId="34" xfId="364" applyFont="1" applyBorder="1" applyAlignment="1" applyProtection="1">
      <alignment horizontal="left" vertical="top"/>
    </xf>
    <xf numFmtId="0" fontId="14" fillId="0" borderId="0" xfId="364" applyFont="1" applyBorder="1" applyAlignment="1" applyProtection="1">
      <alignment horizontal="left" vertical="top"/>
    </xf>
    <xf numFmtId="0" fontId="14" fillId="0" borderId="35" xfId="364" applyFont="1" applyBorder="1" applyAlignment="1" applyProtection="1">
      <alignment horizontal="left" vertical="top"/>
    </xf>
    <xf numFmtId="49" fontId="13" fillId="9" borderId="36" xfId="10" applyNumberFormat="1" applyFont="1" applyFill="1" applyBorder="1" applyAlignment="1" applyProtection="1">
      <alignment horizontal="left" vertical="top" wrapText="1"/>
    </xf>
    <xf numFmtId="49" fontId="13" fillId="9" borderId="37" xfId="10" applyNumberFormat="1" applyFont="1" applyFill="1" applyBorder="1" applyAlignment="1" applyProtection="1">
      <alignment horizontal="left" vertical="top" wrapText="1"/>
    </xf>
    <xf numFmtId="49" fontId="13" fillId="9" borderId="38" xfId="10" applyNumberFormat="1" applyFont="1" applyFill="1" applyBorder="1" applyAlignment="1" applyProtection="1">
      <alignment horizontal="left" vertical="top" wrapText="1"/>
    </xf>
    <xf numFmtId="182" fontId="52" fillId="9" borderId="36" xfId="365" applyFont="1" applyFill="1" applyBorder="1" applyAlignment="1" applyProtection="1">
      <alignment horizontal="left"/>
      <protection locked="0"/>
    </xf>
    <xf numFmtId="182" fontId="52" fillId="9" borderId="37" xfId="365" applyFont="1" applyFill="1" applyBorder="1" applyAlignment="1" applyProtection="1">
      <alignment horizontal="left"/>
      <protection locked="0"/>
    </xf>
    <xf numFmtId="182" fontId="52" fillId="9" borderId="38" xfId="365" applyFont="1" applyFill="1" applyBorder="1" applyAlignment="1" applyProtection="1">
      <alignment horizontal="left"/>
      <protection locked="0"/>
    </xf>
    <xf numFmtId="0" fontId="13" fillId="9" borderId="36" xfId="10" applyFont="1" applyFill="1" applyBorder="1" applyAlignment="1" applyProtection="1">
      <alignment horizontal="center" vertical="top" wrapText="1"/>
      <protection locked="0"/>
    </xf>
    <xf numFmtId="0" fontId="13" fillId="9" borderId="38" xfId="10" applyFont="1" applyFill="1" applyBorder="1" applyAlignment="1" applyProtection="1">
      <alignment horizontal="center" vertical="top" wrapText="1"/>
      <protection locked="0"/>
    </xf>
    <xf numFmtId="0" fontId="13" fillId="0" borderId="34" xfId="10" applyFont="1" applyBorder="1" applyAlignment="1" applyProtection="1">
      <alignment horizontal="center"/>
    </xf>
    <xf numFmtId="0" fontId="13" fillId="0" borderId="35" xfId="10" applyFont="1" applyBorder="1" applyAlignment="1" applyProtection="1">
      <alignment horizontal="center"/>
    </xf>
    <xf numFmtId="0" fontId="14" fillId="0" borderId="36" xfId="10" applyFont="1" applyBorder="1" applyAlignment="1" applyProtection="1">
      <alignment horizontal="center"/>
    </xf>
    <xf numFmtId="0" fontId="14" fillId="0" borderId="38" xfId="10" applyFont="1" applyBorder="1" applyAlignment="1" applyProtection="1">
      <alignment horizontal="center"/>
    </xf>
    <xf numFmtId="3" fontId="13" fillId="9" borderId="36" xfId="10" applyNumberFormat="1" applyFont="1" applyFill="1" applyBorder="1" applyAlignment="1" applyProtection="1">
      <alignment horizontal="left" vertical="top" wrapText="1"/>
    </xf>
    <xf numFmtId="0" fontId="13" fillId="9" borderId="38" xfId="10" applyFont="1" applyFill="1" applyBorder="1" applyAlignment="1" applyProtection="1">
      <alignment horizontal="left" vertical="top" wrapText="1"/>
    </xf>
    <xf numFmtId="0" fontId="13" fillId="9" borderId="37" xfId="10" applyNumberFormat="1" applyFont="1" applyFill="1" applyBorder="1" applyAlignment="1" applyProtection="1">
      <alignment horizontal="left" vertical="top" wrapText="1"/>
    </xf>
    <xf numFmtId="0" fontId="13" fillId="9" borderId="38" xfId="10" applyNumberFormat="1" applyFont="1" applyFill="1" applyBorder="1" applyAlignment="1" applyProtection="1">
      <alignment horizontal="left" vertical="top" wrapText="1"/>
    </xf>
  </cellXfs>
  <cellStyles count="366">
    <cellStyle name="_x000d__x000a_JournalTemplate=C:\COMFO\CTALK\JOURSTD.TPL_x000d__x000a_LbStateAddress=3 3 0 251 1 89 2 311_x000d__x000a_LbStateJou" xfId="62" xr:uid="{00000000-0005-0000-0000-000000000000}"/>
    <cellStyle name="20% - Ênfase1 100" xfId="1" xr:uid="{00000000-0005-0000-0000-000001000000}"/>
    <cellStyle name="60% - Ênfase6 37" xfId="2" xr:uid="{00000000-0005-0000-0000-000002000000}"/>
    <cellStyle name="Comma_Arauco Piping list" xfId="63" xr:uid="{00000000-0005-0000-0000-000003000000}"/>
    <cellStyle name="Comma0" xfId="64" xr:uid="{00000000-0005-0000-0000-000004000000}"/>
    <cellStyle name="CORES" xfId="65" xr:uid="{00000000-0005-0000-0000-000005000000}"/>
    <cellStyle name="Currency [0]_Arauco Piping list" xfId="66" xr:uid="{00000000-0005-0000-0000-000006000000}"/>
    <cellStyle name="Currency_Arauco Piping list" xfId="67" xr:uid="{00000000-0005-0000-0000-000007000000}"/>
    <cellStyle name="Currency0" xfId="68" xr:uid="{00000000-0005-0000-0000-000008000000}"/>
    <cellStyle name="Data" xfId="69" xr:uid="{00000000-0005-0000-0000-000009000000}"/>
    <cellStyle name="Date" xfId="70" xr:uid="{00000000-0005-0000-0000-00000A000000}"/>
    <cellStyle name="Excel Built-in Excel Built-in Excel Built-in Excel Built-in Excel Built-in Excel Built-in Excel Built-in Excel Built-in Separador de milhares 4" xfId="3" xr:uid="{00000000-0005-0000-0000-00000B000000}"/>
    <cellStyle name="Excel Built-in Excel Built-in Excel Built-in Excel Built-in Excel Built-in Excel Built-in Excel Built-in Separador de milhares 4" xfId="4" xr:uid="{00000000-0005-0000-0000-00000C000000}"/>
    <cellStyle name="Excel Built-in Normal" xfId="5" xr:uid="{00000000-0005-0000-0000-00000D000000}"/>
    <cellStyle name="Excel Built-in Normal 1" xfId="6" xr:uid="{00000000-0005-0000-0000-00000E000000}"/>
    <cellStyle name="Excel Built-in Normal 2" xfId="30" xr:uid="{00000000-0005-0000-0000-00000F000000}"/>
    <cellStyle name="Excel Built-in Normal 3" xfId="41" xr:uid="{00000000-0005-0000-0000-000010000000}"/>
    <cellStyle name="Excel_BuiltIn_Comma" xfId="7" xr:uid="{00000000-0005-0000-0000-000011000000}"/>
    <cellStyle name="Fixed" xfId="71" xr:uid="{00000000-0005-0000-0000-000012000000}"/>
    <cellStyle name="Fixo" xfId="72" xr:uid="{00000000-0005-0000-0000-000013000000}"/>
    <cellStyle name="Followed Hyperlink" xfId="73" xr:uid="{00000000-0005-0000-0000-000014000000}"/>
    <cellStyle name="Grey" xfId="74" xr:uid="{00000000-0005-0000-0000-000015000000}"/>
    <cellStyle name="Heading" xfId="8" xr:uid="{00000000-0005-0000-0000-000016000000}"/>
    <cellStyle name="Heading 1" xfId="75" xr:uid="{00000000-0005-0000-0000-000017000000}"/>
    <cellStyle name="Heading 2" xfId="76" xr:uid="{00000000-0005-0000-0000-000018000000}"/>
    <cellStyle name="Heading1" xfId="9" xr:uid="{00000000-0005-0000-0000-000019000000}"/>
    <cellStyle name="Hiperlink 2" xfId="31" xr:uid="{00000000-0005-0000-0000-00001A000000}"/>
    <cellStyle name="Indefinido" xfId="77" xr:uid="{00000000-0005-0000-0000-00001B000000}"/>
    <cellStyle name="Input [yellow]" xfId="78" xr:uid="{00000000-0005-0000-0000-00001C000000}"/>
    <cellStyle name="material" xfId="79" xr:uid="{00000000-0005-0000-0000-00001D000000}"/>
    <cellStyle name="MINIPG" xfId="80" xr:uid="{00000000-0005-0000-0000-00001E000000}"/>
    <cellStyle name="Moeda 2" xfId="32" xr:uid="{00000000-0005-0000-0000-00001F000000}"/>
    <cellStyle name="Moeda_Composicao BDI v2.1" xfId="365" xr:uid="{00000000-0005-0000-0000-000020000000}"/>
    <cellStyle name="Normal" xfId="0" builtinId="0"/>
    <cellStyle name="Normal - Style1" xfId="81" xr:uid="{00000000-0005-0000-0000-000022000000}"/>
    <cellStyle name="Normal 10" xfId="46" xr:uid="{00000000-0005-0000-0000-000023000000}"/>
    <cellStyle name="Normal 10 2" xfId="178" xr:uid="{00000000-0005-0000-0000-000024000000}"/>
    <cellStyle name="Normal 11" xfId="51" xr:uid="{00000000-0005-0000-0000-000025000000}"/>
    <cellStyle name="Normal 12" xfId="48" xr:uid="{00000000-0005-0000-0000-000026000000}"/>
    <cellStyle name="Normal 13" xfId="49" xr:uid="{00000000-0005-0000-0000-000027000000}"/>
    <cellStyle name="Normal 13 2" xfId="120" xr:uid="{00000000-0005-0000-0000-000028000000}"/>
    <cellStyle name="Normal 13 2 2" xfId="188" xr:uid="{00000000-0005-0000-0000-000029000000}"/>
    <cellStyle name="Normal 13 2 2 2" xfId="313" xr:uid="{00000000-0005-0000-0000-00002A000000}"/>
    <cellStyle name="Normal 13 2 3" xfId="281" xr:uid="{00000000-0005-0000-0000-00002B000000}"/>
    <cellStyle name="Normal 13 3" xfId="121" xr:uid="{00000000-0005-0000-0000-00002C000000}"/>
    <cellStyle name="Normal 13 3 2" xfId="189" xr:uid="{00000000-0005-0000-0000-00002D000000}"/>
    <cellStyle name="Normal 13 3 2 2" xfId="314" xr:uid="{00000000-0005-0000-0000-00002E000000}"/>
    <cellStyle name="Normal 13 3 3" xfId="282" xr:uid="{00000000-0005-0000-0000-00002F000000}"/>
    <cellStyle name="Normal 13 4" xfId="176" xr:uid="{00000000-0005-0000-0000-000030000000}"/>
    <cellStyle name="Normal 13 4 2" xfId="242" xr:uid="{00000000-0005-0000-0000-000031000000}"/>
    <cellStyle name="Normal 13 4 2 2" xfId="357" xr:uid="{00000000-0005-0000-0000-000032000000}"/>
    <cellStyle name="Normal 13 4 3" xfId="250" xr:uid="{00000000-0005-0000-0000-000033000000}"/>
    <cellStyle name="Normal 13 4 3 2" xfId="360" xr:uid="{00000000-0005-0000-0000-000034000000}"/>
    <cellStyle name="Normal 13 4 4" xfId="190" xr:uid="{00000000-0005-0000-0000-000035000000}"/>
    <cellStyle name="Normal 13 4 4 2" xfId="315" xr:uid="{00000000-0005-0000-0000-000036000000}"/>
    <cellStyle name="Normal 13 4 5" xfId="308" xr:uid="{00000000-0005-0000-0000-000037000000}"/>
    <cellStyle name="Normal 13 5" xfId="240" xr:uid="{00000000-0005-0000-0000-000038000000}"/>
    <cellStyle name="Normal 13 5 2" xfId="355" xr:uid="{00000000-0005-0000-0000-000039000000}"/>
    <cellStyle name="Normal 13 6" xfId="187" xr:uid="{00000000-0005-0000-0000-00003A000000}"/>
    <cellStyle name="Normal 13 6 2" xfId="312" xr:uid="{00000000-0005-0000-0000-00003B000000}"/>
    <cellStyle name="Normal 13 7" xfId="270" xr:uid="{00000000-0005-0000-0000-00003C000000}"/>
    <cellStyle name="Normal 14" xfId="52" xr:uid="{00000000-0005-0000-0000-00003D000000}"/>
    <cellStyle name="Normal 14 2" xfId="122" xr:uid="{00000000-0005-0000-0000-00003E000000}"/>
    <cellStyle name="Normal 14 2 2" xfId="192" xr:uid="{00000000-0005-0000-0000-00003F000000}"/>
    <cellStyle name="Normal 14 2 2 2" xfId="317" xr:uid="{00000000-0005-0000-0000-000040000000}"/>
    <cellStyle name="Normal 14 2 3" xfId="283" xr:uid="{00000000-0005-0000-0000-000041000000}"/>
    <cellStyle name="Normal 14 3" xfId="123" xr:uid="{00000000-0005-0000-0000-000042000000}"/>
    <cellStyle name="Normal 14 3 2" xfId="193" xr:uid="{00000000-0005-0000-0000-000043000000}"/>
    <cellStyle name="Normal 14 3 2 2" xfId="318" xr:uid="{00000000-0005-0000-0000-000044000000}"/>
    <cellStyle name="Normal 14 3 3" xfId="284" xr:uid="{00000000-0005-0000-0000-000045000000}"/>
    <cellStyle name="Normal 14 4" xfId="191" xr:uid="{00000000-0005-0000-0000-000046000000}"/>
    <cellStyle name="Normal 14 4 2" xfId="316" xr:uid="{00000000-0005-0000-0000-000047000000}"/>
    <cellStyle name="Normal 14 5" xfId="272" xr:uid="{00000000-0005-0000-0000-000048000000}"/>
    <cellStyle name="Normal 15" xfId="60" xr:uid="{00000000-0005-0000-0000-000049000000}"/>
    <cellStyle name="Normal 15 2" xfId="124" xr:uid="{00000000-0005-0000-0000-00004A000000}"/>
    <cellStyle name="Normal 16" xfId="95" xr:uid="{00000000-0005-0000-0000-00004B000000}"/>
    <cellStyle name="Normal 16 2" xfId="125" xr:uid="{00000000-0005-0000-0000-00004C000000}"/>
    <cellStyle name="Normal 16 2 2" xfId="195" xr:uid="{00000000-0005-0000-0000-00004D000000}"/>
    <cellStyle name="Normal 16 2 2 2" xfId="320" xr:uid="{00000000-0005-0000-0000-00004E000000}"/>
    <cellStyle name="Normal 16 2 3" xfId="285" xr:uid="{00000000-0005-0000-0000-00004F000000}"/>
    <cellStyle name="Normal 16 3" xfId="126" xr:uid="{00000000-0005-0000-0000-000050000000}"/>
    <cellStyle name="Normal 16 3 2" xfId="196" xr:uid="{00000000-0005-0000-0000-000051000000}"/>
    <cellStyle name="Normal 16 3 2 2" xfId="321" xr:uid="{00000000-0005-0000-0000-000052000000}"/>
    <cellStyle name="Normal 16 3 3" xfId="286" xr:uid="{00000000-0005-0000-0000-000053000000}"/>
    <cellStyle name="Normal 16 4" xfId="194" xr:uid="{00000000-0005-0000-0000-000054000000}"/>
    <cellStyle name="Normal 16 4 2" xfId="319" xr:uid="{00000000-0005-0000-0000-000055000000}"/>
    <cellStyle name="Normal 16 5" xfId="277" xr:uid="{00000000-0005-0000-0000-000056000000}"/>
    <cellStyle name="Normal 17" xfId="105" xr:uid="{00000000-0005-0000-0000-000057000000}"/>
    <cellStyle name="Normal 18" xfId="109" xr:uid="{00000000-0005-0000-0000-000058000000}"/>
    <cellStyle name="Normal 19" xfId="101" xr:uid="{00000000-0005-0000-0000-000059000000}"/>
    <cellStyle name="Normal 2" xfId="10" xr:uid="{00000000-0005-0000-0000-00005A000000}"/>
    <cellStyle name="Normal 2 2" xfId="17" xr:uid="{00000000-0005-0000-0000-00005B000000}"/>
    <cellStyle name="Normal 2 2 2" xfId="244" xr:uid="{00000000-0005-0000-0000-00005C000000}"/>
    <cellStyle name="Normal 20" xfId="103" xr:uid="{00000000-0005-0000-0000-00005D000000}"/>
    <cellStyle name="Normal 21" xfId="106" xr:uid="{00000000-0005-0000-0000-00005E000000}"/>
    <cellStyle name="Normal 22" xfId="99" xr:uid="{00000000-0005-0000-0000-00005F000000}"/>
    <cellStyle name="Normal 23" xfId="97" xr:uid="{00000000-0005-0000-0000-000060000000}"/>
    <cellStyle name="Normal 24" xfId="98" xr:uid="{00000000-0005-0000-0000-000061000000}"/>
    <cellStyle name="Normal 25" xfId="111" xr:uid="{00000000-0005-0000-0000-000062000000}"/>
    <cellStyle name="Normal 26" xfId="115" xr:uid="{00000000-0005-0000-0000-000063000000}"/>
    <cellStyle name="Normal 27" xfId="113" xr:uid="{00000000-0005-0000-0000-000064000000}"/>
    <cellStyle name="Normal 28" xfId="112" xr:uid="{00000000-0005-0000-0000-000065000000}"/>
    <cellStyle name="Normal 29" xfId="107" xr:uid="{00000000-0005-0000-0000-000066000000}"/>
    <cellStyle name="Normal 3" xfId="18" xr:uid="{00000000-0005-0000-0000-000067000000}"/>
    <cellStyle name="Normal 3 2" xfId="19" xr:uid="{00000000-0005-0000-0000-000068000000}"/>
    <cellStyle name="Normal 3 3" xfId="27" xr:uid="{00000000-0005-0000-0000-000069000000}"/>
    <cellStyle name="Normal 30" xfId="96" xr:uid="{00000000-0005-0000-0000-00006A000000}"/>
    <cellStyle name="Normal 31" xfId="110" xr:uid="{00000000-0005-0000-0000-00006B000000}"/>
    <cellStyle name="Normal 32" xfId="100" xr:uid="{00000000-0005-0000-0000-00006C000000}"/>
    <cellStyle name="Normal 33" xfId="104" xr:uid="{00000000-0005-0000-0000-00006D000000}"/>
    <cellStyle name="Normal 34" xfId="114" xr:uid="{00000000-0005-0000-0000-00006E000000}"/>
    <cellStyle name="Normal 35" xfId="108" xr:uid="{00000000-0005-0000-0000-00006F000000}"/>
    <cellStyle name="Normal 36" xfId="102" xr:uid="{00000000-0005-0000-0000-000070000000}"/>
    <cellStyle name="Normal 37" xfId="119" xr:uid="{00000000-0005-0000-0000-000071000000}"/>
    <cellStyle name="Normal 37 2" xfId="127" xr:uid="{00000000-0005-0000-0000-000072000000}"/>
    <cellStyle name="Normal 37 2 2" xfId="198" xr:uid="{00000000-0005-0000-0000-000073000000}"/>
    <cellStyle name="Normal 37 2 2 2" xfId="323" xr:uid="{00000000-0005-0000-0000-000074000000}"/>
    <cellStyle name="Normal 37 2 3" xfId="287" xr:uid="{00000000-0005-0000-0000-000075000000}"/>
    <cellStyle name="Normal 37 3" xfId="197" xr:uid="{00000000-0005-0000-0000-000076000000}"/>
    <cellStyle name="Normal 37 3 2" xfId="322" xr:uid="{00000000-0005-0000-0000-000077000000}"/>
    <cellStyle name="Normal 37 4" xfId="280" xr:uid="{00000000-0005-0000-0000-000078000000}"/>
    <cellStyle name="Normal 38" xfId="128" xr:uid="{00000000-0005-0000-0000-000079000000}"/>
    <cellStyle name="Normal 38 2" xfId="199" xr:uid="{00000000-0005-0000-0000-00007A000000}"/>
    <cellStyle name="Normal 38 2 2" xfId="324" xr:uid="{00000000-0005-0000-0000-00007B000000}"/>
    <cellStyle name="Normal 38 3" xfId="288" xr:uid="{00000000-0005-0000-0000-00007C000000}"/>
    <cellStyle name="Normal 39" xfId="129" xr:uid="{00000000-0005-0000-0000-00007D000000}"/>
    <cellStyle name="Normal 4" xfId="20" xr:uid="{00000000-0005-0000-0000-00007E000000}"/>
    <cellStyle name="Normal 4 2" xfId="245" xr:uid="{00000000-0005-0000-0000-00007F000000}"/>
    <cellStyle name="Normal 40" xfId="130" xr:uid="{00000000-0005-0000-0000-000080000000}"/>
    <cellStyle name="Normal 41" xfId="131" xr:uid="{00000000-0005-0000-0000-000081000000}"/>
    <cellStyle name="Normal 42" xfId="132" xr:uid="{00000000-0005-0000-0000-000082000000}"/>
    <cellStyle name="Normal 43" xfId="133" xr:uid="{00000000-0005-0000-0000-000083000000}"/>
    <cellStyle name="Normal 44" xfId="134" xr:uid="{00000000-0005-0000-0000-000084000000}"/>
    <cellStyle name="Normal 45" xfId="135" xr:uid="{00000000-0005-0000-0000-000085000000}"/>
    <cellStyle name="Normal 46" xfId="136" xr:uid="{00000000-0005-0000-0000-000086000000}"/>
    <cellStyle name="Normal 47" xfId="137" xr:uid="{00000000-0005-0000-0000-000087000000}"/>
    <cellStyle name="Normal 48" xfId="138" xr:uid="{00000000-0005-0000-0000-000088000000}"/>
    <cellStyle name="Normal 49" xfId="139" xr:uid="{00000000-0005-0000-0000-000089000000}"/>
    <cellStyle name="Normal 5" xfId="23" xr:uid="{00000000-0005-0000-0000-00008A000000}"/>
    <cellStyle name="Normal 5 2" xfId="53" xr:uid="{00000000-0005-0000-0000-00008B000000}"/>
    <cellStyle name="Normal 5 2 2" xfId="140" xr:uid="{00000000-0005-0000-0000-00008C000000}"/>
    <cellStyle name="Normal 5 2 2 2" xfId="202" xr:uid="{00000000-0005-0000-0000-00008D000000}"/>
    <cellStyle name="Normal 5 2 2 2 2" xfId="327" xr:uid="{00000000-0005-0000-0000-00008E000000}"/>
    <cellStyle name="Normal 5 2 2 3" xfId="289" xr:uid="{00000000-0005-0000-0000-00008F000000}"/>
    <cellStyle name="Normal 5 2 3" xfId="141" xr:uid="{00000000-0005-0000-0000-000090000000}"/>
    <cellStyle name="Normal 5 2 3 2" xfId="203" xr:uid="{00000000-0005-0000-0000-000091000000}"/>
    <cellStyle name="Normal 5 2 3 2 2" xfId="328" xr:uid="{00000000-0005-0000-0000-000092000000}"/>
    <cellStyle name="Normal 5 2 3 3" xfId="290" xr:uid="{00000000-0005-0000-0000-000093000000}"/>
    <cellStyle name="Normal 5 2 4" xfId="201" xr:uid="{00000000-0005-0000-0000-000094000000}"/>
    <cellStyle name="Normal 5 2 4 2" xfId="326" xr:uid="{00000000-0005-0000-0000-000095000000}"/>
    <cellStyle name="Normal 5 2 5" xfId="273" xr:uid="{00000000-0005-0000-0000-000096000000}"/>
    <cellStyle name="Normal 5 3" xfId="142" xr:uid="{00000000-0005-0000-0000-000097000000}"/>
    <cellStyle name="Normal 5 3 2" xfId="204" xr:uid="{00000000-0005-0000-0000-000098000000}"/>
    <cellStyle name="Normal 5 3 2 2" xfId="329" xr:uid="{00000000-0005-0000-0000-000099000000}"/>
    <cellStyle name="Normal 5 3 3" xfId="291" xr:uid="{00000000-0005-0000-0000-00009A000000}"/>
    <cellStyle name="Normal 5 4" xfId="143" xr:uid="{00000000-0005-0000-0000-00009B000000}"/>
    <cellStyle name="Normal 5 4 2" xfId="205" xr:uid="{00000000-0005-0000-0000-00009C000000}"/>
    <cellStyle name="Normal 5 4 2 2" xfId="330" xr:uid="{00000000-0005-0000-0000-00009D000000}"/>
    <cellStyle name="Normal 5 4 3" xfId="292" xr:uid="{00000000-0005-0000-0000-00009E000000}"/>
    <cellStyle name="Normal 5 5" xfId="200" xr:uid="{00000000-0005-0000-0000-00009F000000}"/>
    <cellStyle name="Normal 5 5 2" xfId="325" xr:uid="{00000000-0005-0000-0000-0000A0000000}"/>
    <cellStyle name="Normal 5 6" xfId="267" xr:uid="{00000000-0005-0000-0000-0000A1000000}"/>
    <cellStyle name="Normal 50" xfId="144" xr:uid="{00000000-0005-0000-0000-0000A2000000}"/>
    <cellStyle name="Normal 51" xfId="145" xr:uid="{00000000-0005-0000-0000-0000A3000000}"/>
    <cellStyle name="Normal 52" xfId="146" xr:uid="{00000000-0005-0000-0000-0000A4000000}"/>
    <cellStyle name="Normal 53" xfId="147" xr:uid="{00000000-0005-0000-0000-0000A5000000}"/>
    <cellStyle name="Normal 54" xfId="148" xr:uid="{00000000-0005-0000-0000-0000A6000000}"/>
    <cellStyle name="Normal 55" xfId="149" xr:uid="{00000000-0005-0000-0000-0000A7000000}"/>
    <cellStyle name="Normal 56" xfId="150" xr:uid="{00000000-0005-0000-0000-0000A8000000}"/>
    <cellStyle name="Normal 57" xfId="151" xr:uid="{00000000-0005-0000-0000-0000A9000000}"/>
    <cellStyle name="Normal 58" xfId="152" xr:uid="{00000000-0005-0000-0000-0000AA000000}"/>
    <cellStyle name="Normal 59" xfId="153" xr:uid="{00000000-0005-0000-0000-0000AB000000}"/>
    <cellStyle name="Normal 6" xfId="24" xr:uid="{00000000-0005-0000-0000-0000AC000000}"/>
    <cellStyle name="Normal 6 2" xfId="42" xr:uid="{00000000-0005-0000-0000-0000AD000000}"/>
    <cellStyle name="Normal 6 2 2" xfId="54" xr:uid="{00000000-0005-0000-0000-0000AE000000}"/>
    <cellStyle name="Normal 6 2 2 2" xfId="154" xr:uid="{00000000-0005-0000-0000-0000AF000000}"/>
    <cellStyle name="Normal 6 2 2 2 2" xfId="209" xr:uid="{00000000-0005-0000-0000-0000B0000000}"/>
    <cellStyle name="Normal 6 2 2 2 2 2" xfId="333" xr:uid="{00000000-0005-0000-0000-0000B1000000}"/>
    <cellStyle name="Normal 6 2 2 2 3" xfId="293" xr:uid="{00000000-0005-0000-0000-0000B2000000}"/>
    <cellStyle name="Normal 6 2 2 3" xfId="155" xr:uid="{00000000-0005-0000-0000-0000B3000000}"/>
    <cellStyle name="Normal 6 2 2 3 2" xfId="210" xr:uid="{00000000-0005-0000-0000-0000B4000000}"/>
    <cellStyle name="Normal 6 2 2 3 2 2" xfId="334" xr:uid="{00000000-0005-0000-0000-0000B5000000}"/>
    <cellStyle name="Normal 6 2 2 3 3" xfId="294" xr:uid="{00000000-0005-0000-0000-0000B6000000}"/>
    <cellStyle name="Normal 6 2 2 4" xfId="208" xr:uid="{00000000-0005-0000-0000-0000B7000000}"/>
    <cellStyle name="Normal 6 2 2 4 2" xfId="332" xr:uid="{00000000-0005-0000-0000-0000B8000000}"/>
    <cellStyle name="Normal 6 2 2 5" xfId="274" xr:uid="{00000000-0005-0000-0000-0000B9000000}"/>
    <cellStyle name="Normal 6 2 3" xfId="156" xr:uid="{00000000-0005-0000-0000-0000BA000000}"/>
    <cellStyle name="Normal 6 2 3 2" xfId="211" xr:uid="{00000000-0005-0000-0000-0000BB000000}"/>
    <cellStyle name="Normal 6 2 3 2 2" xfId="335" xr:uid="{00000000-0005-0000-0000-0000BC000000}"/>
    <cellStyle name="Normal 6 2 3 3" xfId="295" xr:uid="{00000000-0005-0000-0000-0000BD000000}"/>
    <cellStyle name="Normal 6 2 4" xfId="157" xr:uid="{00000000-0005-0000-0000-0000BE000000}"/>
    <cellStyle name="Normal 6 2 4 2" xfId="212" xr:uid="{00000000-0005-0000-0000-0000BF000000}"/>
    <cellStyle name="Normal 6 2 4 2 2" xfId="336" xr:uid="{00000000-0005-0000-0000-0000C0000000}"/>
    <cellStyle name="Normal 6 2 4 3" xfId="296" xr:uid="{00000000-0005-0000-0000-0000C1000000}"/>
    <cellStyle name="Normal 6 2 5" xfId="207" xr:uid="{00000000-0005-0000-0000-0000C2000000}"/>
    <cellStyle name="Normal 6 2 5 2" xfId="331" xr:uid="{00000000-0005-0000-0000-0000C3000000}"/>
    <cellStyle name="Normal 6 2 6" xfId="269" xr:uid="{00000000-0005-0000-0000-0000C4000000}"/>
    <cellStyle name="Normal 6 3" xfId="55" xr:uid="{00000000-0005-0000-0000-0000C5000000}"/>
    <cellStyle name="Normal 6 3 2" xfId="158" xr:uid="{00000000-0005-0000-0000-0000C6000000}"/>
    <cellStyle name="Normal 6 3 2 2" xfId="214" xr:uid="{00000000-0005-0000-0000-0000C7000000}"/>
    <cellStyle name="Normal 6 3 2 2 2" xfId="338" xr:uid="{00000000-0005-0000-0000-0000C8000000}"/>
    <cellStyle name="Normal 6 3 2 3" xfId="297" xr:uid="{00000000-0005-0000-0000-0000C9000000}"/>
    <cellStyle name="Normal 6 3 3" xfId="159" xr:uid="{00000000-0005-0000-0000-0000CA000000}"/>
    <cellStyle name="Normal 6 3 3 2" xfId="215" xr:uid="{00000000-0005-0000-0000-0000CB000000}"/>
    <cellStyle name="Normal 6 3 3 2 2" xfId="339" xr:uid="{00000000-0005-0000-0000-0000CC000000}"/>
    <cellStyle name="Normal 6 3 3 3" xfId="298" xr:uid="{00000000-0005-0000-0000-0000CD000000}"/>
    <cellStyle name="Normal 6 3 4" xfId="213" xr:uid="{00000000-0005-0000-0000-0000CE000000}"/>
    <cellStyle name="Normal 6 3 4 2" xfId="337" xr:uid="{00000000-0005-0000-0000-0000CF000000}"/>
    <cellStyle name="Normal 6 3 5" xfId="275" xr:uid="{00000000-0005-0000-0000-0000D0000000}"/>
    <cellStyle name="Normal 6 4" xfId="160" xr:uid="{00000000-0005-0000-0000-0000D1000000}"/>
    <cellStyle name="Normal 6 4 2" xfId="216" xr:uid="{00000000-0005-0000-0000-0000D2000000}"/>
    <cellStyle name="Normal 6 4 2 2" xfId="340" xr:uid="{00000000-0005-0000-0000-0000D3000000}"/>
    <cellStyle name="Normal 6 4 3" xfId="299" xr:uid="{00000000-0005-0000-0000-0000D4000000}"/>
    <cellStyle name="Normal 6 5" xfId="161" xr:uid="{00000000-0005-0000-0000-0000D5000000}"/>
    <cellStyle name="Normal 6 5 2" xfId="217" xr:uid="{00000000-0005-0000-0000-0000D6000000}"/>
    <cellStyle name="Normal 6 5 2 2" xfId="341" xr:uid="{00000000-0005-0000-0000-0000D7000000}"/>
    <cellStyle name="Normal 6 5 3" xfId="300" xr:uid="{00000000-0005-0000-0000-0000D8000000}"/>
    <cellStyle name="Normal 6 6" xfId="180" xr:uid="{00000000-0005-0000-0000-0000D9000000}"/>
    <cellStyle name="Normal 6 6 2" xfId="311" xr:uid="{00000000-0005-0000-0000-0000DA000000}"/>
    <cellStyle name="Normal 6 7" xfId="268" xr:uid="{00000000-0005-0000-0000-0000DB000000}"/>
    <cellStyle name="Normal 60" xfId="162" xr:uid="{00000000-0005-0000-0000-0000DC000000}"/>
    <cellStyle name="Normal 61" xfId="163" xr:uid="{00000000-0005-0000-0000-0000DD000000}"/>
    <cellStyle name="Normal 62" xfId="164" xr:uid="{00000000-0005-0000-0000-0000DE000000}"/>
    <cellStyle name="Normal 63" xfId="165" xr:uid="{00000000-0005-0000-0000-0000DF000000}"/>
    <cellStyle name="Normal 64" xfId="173" xr:uid="{00000000-0005-0000-0000-0000E0000000}"/>
    <cellStyle name="Normal 64 2" xfId="251" xr:uid="{00000000-0005-0000-0000-0000E1000000}"/>
    <cellStyle name="Normal 64 3" xfId="218" xr:uid="{00000000-0005-0000-0000-0000E2000000}"/>
    <cellStyle name="Normal 65" xfId="246" xr:uid="{00000000-0005-0000-0000-0000E3000000}"/>
    <cellStyle name="Normal 65 2" xfId="359" xr:uid="{00000000-0005-0000-0000-0000E4000000}"/>
    <cellStyle name="Normal 66" xfId="255" xr:uid="{00000000-0005-0000-0000-0000E5000000}"/>
    <cellStyle name="Normal 67" xfId="179" xr:uid="{00000000-0005-0000-0000-0000E6000000}"/>
    <cellStyle name="Normal 67 2" xfId="310" xr:uid="{00000000-0005-0000-0000-0000E7000000}"/>
    <cellStyle name="Normal 68" xfId="239" xr:uid="{00000000-0005-0000-0000-0000E8000000}"/>
    <cellStyle name="Normal 68 2" xfId="354" xr:uid="{00000000-0005-0000-0000-0000E9000000}"/>
    <cellStyle name="Normal 69" xfId="220" xr:uid="{00000000-0005-0000-0000-0000EA000000}"/>
    <cellStyle name="Normal 7" xfId="25" xr:uid="{00000000-0005-0000-0000-0000EB000000}"/>
    <cellStyle name="Normal 7 2" xfId="39" xr:uid="{00000000-0005-0000-0000-0000EC000000}"/>
    <cellStyle name="Normal 70" xfId="263" xr:uid="{00000000-0005-0000-0000-0000ED000000}"/>
    <cellStyle name="Normal 71" xfId="259" xr:uid="{00000000-0005-0000-0000-0000EE000000}"/>
    <cellStyle name="Normal 72" xfId="225" xr:uid="{00000000-0005-0000-0000-0000EF000000}"/>
    <cellStyle name="Normal 73" xfId="185" xr:uid="{00000000-0005-0000-0000-0000F0000000}"/>
    <cellStyle name="Normal 74" xfId="182" xr:uid="{00000000-0005-0000-0000-0000F1000000}"/>
    <cellStyle name="Normal 75" xfId="262" xr:uid="{00000000-0005-0000-0000-0000F2000000}"/>
    <cellStyle name="Normal 76" xfId="265" xr:uid="{00000000-0005-0000-0000-0000F3000000}"/>
    <cellStyle name="Normal 77" xfId="264" xr:uid="{00000000-0005-0000-0000-0000F4000000}"/>
    <cellStyle name="Normal 78" xfId="256" xr:uid="{00000000-0005-0000-0000-0000F5000000}"/>
    <cellStyle name="Normal 79" xfId="183" xr:uid="{00000000-0005-0000-0000-0000F6000000}"/>
    <cellStyle name="Normal 8" xfId="40" xr:uid="{00000000-0005-0000-0000-0000F7000000}"/>
    <cellStyle name="Normal 8 2" xfId="56" xr:uid="{00000000-0005-0000-0000-0000F8000000}"/>
    <cellStyle name="Normal 80" xfId="181" xr:uid="{00000000-0005-0000-0000-0000F9000000}"/>
    <cellStyle name="Normal 81" xfId="261" xr:uid="{00000000-0005-0000-0000-0000FA000000}"/>
    <cellStyle name="Normal 82" xfId="226" xr:uid="{00000000-0005-0000-0000-0000FB000000}"/>
    <cellStyle name="Normal 83" xfId="184" xr:uid="{00000000-0005-0000-0000-0000FC000000}"/>
    <cellStyle name="Normal 84" xfId="224" xr:uid="{00000000-0005-0000-0000-0000FD000000}"/>
    <cellStyle name="Normal 85" xfId="229" xr:uid="{00000000-0005-0000-0000-0000FE000000}"/>
    <cellStyle name="Normal 86" xfId="260" xr:uid="{00000000-0005-0000-0000-0000FF000000}"/>
    <cellStyle name="Normal 87" xfId="206" xr:uid="{00000000-0005-0000-0000-000000010000}"/>
    <cellStyle name="Normal 88" xfId="257" xr:uid="{00000000-0005-0000-0000-000001010000}"/>
    <cellStyle name="Normal 89" xfId="266" xr:uid="{00000000-0005-0000-0000-000002010000}"/>
    <cellStyle name="Normal 9" xfId="47" xr:uid="{00000000-0005-0000-0000-000003010000}"/>
    <cellStyle name="Normal 90" xfId="186" xr:uid="{00000000-0005-0000-0000-000004010000}"/>
    <cellStyle name="Normal 91" xfId="219" xr:uid="{00000000-0005-0000-0000-000005010000}"/>
    <cellStyle name="Normal 92" xfId="258" xr:uid="{00000000-0005-0000-0000-000006010000}"/>
    <cellStyle name="Normal 93" xfId="361" xr:uid="{00000000-0005-0000-0000-000007010000}"/>
    <cellStyle name="Normal_CC 053 2014 ORI" xfId="363" xr:uid="{00000000-0005-0000-0000-000008010000}"/>
    <cellStyle name="Normal_FICHA DE VERIFICAÇÃO PRELIMINAR - Plano R" xfId="364" xr:uid="{00000000-0005-0000-0000-000009010000}"/>
    <cellStyle name="Normal1" xfId="82" xr:uid="{00000000-0005-0000-0000-00000A010000}"/>
    <cellStyle name="Normal2" xfId="83" xr:uid="{00000000-0005-0000-0000-00000B010000}"/>
    <cellStyle name="Normal3" xfId="84" xr:uid="{00000000-0005-0000-0000-00000C010000}"/>
    <cellStyle name="Percent [2]" xfId="85" xr:uid="{00000000-0005-0000-0000-00000D010000}"/>
    <cellStyle name="Percent_Sheet1" xfId="86" xr:uid="{00000000-0005-0000-0000-00000E010000}"/>
    <cellStyle name="Percentual" xfId="87" xr:uid="{00000000-0005-0000-0000-00000F010000}"/>
    <cellStyle name="Ponto" xfId="88" xr:uid="{00000000-0005-0000-0000-000010010000}"/>
    <cellStyle name="Porcentagem 2" xfId="11" xr:uid="{00000000-0005-0000-0000-000011010000}"/>
    <cellStyle name="Porcentagem 2 2" xfId="252" xr:uid="{00000000-0005-0000-0000-000012010000}"/>
    <cellStyle name="Porcentagem 3" xfId="33" xr:uid="{00000000-0005-0000-0000-000013010000}"/>
    <cellStyle name="Porcentagem 3 2" xfId="43" xr:uid="{00000000-0005-0000-0000-000014010000}"/>
    <cellStyle name="Porcentagem 4" xfId="29" xr:uid="{00000000-0005-0000-0000-000015010000}"/>
    <cellStyle name="Porcentagem 4 2" xfId="34" xr:uid="{00000000-0005-0000-0000-000016010000}"/>
    <cellStyle name="Porcentagem 4 2 2" xfId="247" xr:uid="{00000000-0005-0000-0000-000017010000}"/>
    <cellStyle name="Porcentagem 5" xfId="61" xr:uid="{00000000-0005-0000-0000-000018010000}"/>
    <cellStyle name="Porcentagem 6" xfId="116" xr:uid="{00000000-0005-0000-0000-000019010000}"/>
    <cellStyle name="Porcentagem 6 2" xfId="166" xr:uid="{00000000-0005-0000-0000-00001A010000}"/>
    <cellStyle name="Porcentagem 6 2 2" xfId="222" xr:uid="{00000000-0005-0000-0000-00001B010000}"/>
    <cellStyle name="Porcentagem 6 2 2 2" xfId="343" xr:uid="{00000000-0005-0000-0000-00001C010000}"/>
    <cellStyle name="Porcentagem 6 2 3" xfId="301" xr:uid="{00000000-0005-0000-0000-00001D010000}"/>
    <cellStyle name="Porcentagem 6 3" xfId="221" xr:uid="{00000000-0005-0000-0000-00001E010000}"/>
    <cellStyle name="Porcentagem 6 3 2" xfId="342" xr:uid="{00000000-0005-0000-0000-00001F010000}"/>
    <cellStyle name="Porcentagem 6 4" xfId="278" xr:uid="{00000000-0005-0000-0000-000020010000}"/>
    <cellStyle name="Porcentagem 7" xfId="175" xr:uid="{00000000-0005-0000-0000-000021010000}"/>
    <cellStyle name="Porcentagem 7 2" xfId="223" xr:uid="{00000000-0005-0000-0000-000022010000}"/>
    <cellStyle name="Porcentagem 8" xfId="362" xr:uid="{00000000-0005-0000-0000-000023010000}"/>
    <cellStyle name="Result" xfId="12" xr:uid="{00000000-0005-0000-0000-000024010000}"/>
    <cellStyle name="Result2" xfId="13" xr:uid="{00000000-0005-0000-0000-000025010000}"/>
    <cellStyle name="Sep. milhar [0]" xfId="89" xr:uid="{00000000-0005-0000-0000-000026010000}"/>
    <cellStyle name="Separador de m" xfId="90" xr:uid="{00000000-0005-0000-0000-000027010000}"/>
    <cellStyle name="Separador de milhares 2" xfId="15" xr:uid="{00000000-0005-0000-0000-000028010000}"/>
    <cellStyle name="Separador de milhares 2 2" xfId="21" xr:uid="{00000000-0005-0000-0000-000029010000}"/>
    <cellStyle name="Separador de milhares 3" xfId="22" xr:uid="{00000000-0005-0000-0000-00002A010000}"/>
    <cellStyle name="Separador de milhares 4" xfId="16" xr:uid="{00000000-0005-0000-0000-00002B010000}"/>
    <cellStyle name="Sepavador de milhares [0]_Pasta2" xfId="91" xr:uid="{00000000-0005-0000-0000-00002C010000}"/>
    <cellStyle name="Standard_RP100_01 (metr.)" xfId="92" xr:uid="{00000000-0005-0000-0000-00002D010000}"/>
    <cellStyle name="Titulo1" xfId="93" xr:uid="{00000000-0005-0000-0000-00002E010000}"/>
    <cellStyle name="Titulo2" xfId="94" xr:uid="{00000000-0005-0000-0000-00002F010000}"/>
    <cellStyle name="Vírgula" xfId="14" builtinId="3"/>
    <cellStyle name="Vírgula 10" xfId="117" xr:uid="{00000000-0005-0000-0000-000031010000}"/>
    <cellStyle name="Vírgula 10 2" xfId="167" xr:uid="{00000000-0005-0000-0000-000032010000}"/>
    <cellStyle name="Vírgula 10 2 2" xfId="228" xr:uid="{00000000-0005-0000-0000-000033010000}"/>
    <cellStyle name="Vírgula 10 2 2 2" xfId="345" xr:uid="{00000000-0005-0000-0000-000034010000}"/>
    <cellStyle name="Vírgula 10 2 3" xfId="302" xr:uid="{00000000-0005-0000-0000-000035010000}"/>
    <cellStyle name="Vírgula 10 3" xfId="227" xr:uid="{00000000-0005-0000-0000-000036010000}"/>
    <cellStyle name="Vírgula 10 3 2" xfId="344" xr:uid="{00000000-0005-0000-0000-000037010000}"/>
    <cellStyle name="Vírgula 10 4" xfId="279" xr:uid="{00000000-0005-0000-0000-000038010000}"/>
    <cellStyle name="Vírgula 11" xfId="118" xr:uid="{00000000-0005-0000-0000-000039010000}"/>
    <cellStyle name="Vírgula 12" xfId="168" xr:uid="{00000000-0005-0000-0000-00003A010000}"/>
    <cellStyle name="Vírgula 12 2" xfId="230" xr:uid="{00000000-0005-0000-0000-00003B010000}"/>
    <cellStyle name="Vírgula 12 2 2" xfId="346" xr:uid="{00000000-0005-0000-0000-00003C010000}"/>
    <cellStyle name="Vírgula 12 3" xfId="303" xr:uid="{00000000-0005-0000-0000-00003D010000}"/>
    <cellStyle name="Vírgula 13" xfId="174" xr:uid="{00000000-0005-0000-0000-00003E010000}"/>
    <cellStyle name="Vírgula 13 2" xfId="231" xr:uid="{00000000-0005-0000-0000-00003F010000}"/>
    <cellStyle name="Vírgula 2" xfId="26" xr:uid="{00000000-0005-0000-0000-000040010000}"/>
    <cellStyle name="Vírgula 2 2" xfId="45" xr:uid="{00000000-0005-0000-0000-000041010000}"/>
    <cellStyle name="Vírgula 2 3" xfId="253" xr:uid="{00000000-0005-0000-0000-000042010000}"/>
    <cellStyle name="Vírgula 2 4" xfId="254" xr:uid="{00000000-0005-0000-0000-000043010000}"/>
    <cellStyle name="Vírgula 3" xfId="35" xr:uid="{00000000-0005-0000-0000-000044010000}"/>
    <cellStyle name="Vírgula 3 2" xfId="36" xr:uid="{00000000-0005-0000-0000-000045010000}"/>
    <cellStyle name="Vírgula 4" xfId="37" xr:uid="{00000000-0005-0000-0000-000046010000}"/>
    <cellStyle name="Vírgula 5" xfId="28" xr:uid="{00000000-0005-0000-0000-000047010000}"/>
    <cellStyle name="Vírgula 5 2" xfId="38" xr:uid="{00000000-0005-0000-0000-000048010000}"/>
    <cellStyle name="Vírgula 5 2 2" xfId="248" xr:uid="{00000000-0005-0000-0000-000049010000}"/>
    <cellStyle name="Vírgula 6" xfId="44" xr:uid="{00000000-0005-0000-0000-00004A010000}"/>
    <cellStyle name="Vírgula 6 2" xfId="57" xr:uid="{00000000-0005-0000-0000-00004B010000}"/>
    <cellStyle name="Vírgula 6 3" xfId="249" xr:uid="{00000000-0005-0000-0000-00004C010000}"/>
    <cellStyle name="Vírgula 7" xfId="50" xr:uid="{00000000-0005-0000-0000-00004D010000}"/>
    <cellStyle name="Vírgula 7 2" xfId="169" xr:uid="{00000000-0005-0000-0000-00004E010000}"/>
    <cellStyle name="Vírgula 7 2 2" xfId="233" xr:uid="{00000000-0005-0000-0000-00004F010000}"/>
    <cellStyle name="Vírgula 7 2 2 2" xfId="348" xr:uid="{00000000-0005-0000-0000-000050010000}"/>
    <cellStyle name="Vírgula 7 2 3" xfId="304" xr:uid="{00000000-0005-0000-0000-000051010000}"/>
    <cellStyle name="Vírgula 7 3" xfId="170" xr:uid="{00000000-0005-0000-0000-000052010000}"/>
    <cellStyle name="Vírgula 7 3 2" xfId="234" xr:uid="{00000000-0005-0000-0000-000053010000}"/>
    <cellStyle name="Vírgula 7 3 2 2" xfId="349" xr:uid="{00000000-0005-0000-0000-000054010000}"/>
    <cellStyle name="Vírgula 7 3 3" xfId="305" xr:uid="{00000000-0005-0000-0000-000055010000}"/>
    <cellStyle name="Vírgula 7 4" xfId="177" xr:uid="{00000000-0005-0000-0000-000056010000}"/>
    <cellStyle name="Vírgula 7 4 2" xfId="243" xr:uid="{00000000-0005-0000-0000-000057010000}"/>
    <cellStyle name="Vírgula 7 4 2 2" xfId="358" xr:uid="{00000000-0005-0000-0000-000058010000}"/>
    <cellStyle name="Vírgula 7 4 3" xfId="235" xr:uid="{00000000-0005-0000-0000-000059010000}"/>
    <cellStyle name="Vírgula 7 4 3 2" xfId="350" xr:uid="{00000000-0005-0000-0000-00005A010000}"/>
    <cellStyle name="Vírgula 7 4 4" xfId="309" xr:uid="{00000000-0005-0000-0000-00005B010000}"/>
    <cellStyle name="Vírgula 7 5" xfId="241" xr:uid="{00000000-0005-0000-0000-00005C010000}"/>
    <cellStyle name="Vírgula 7 5 2" xfId="356" xr:uid="{00000000-0005-0000-0000-00005D010000}"/>
    <cellStyle name="Vírgula 7 6" xfId="232" xr:uid="{00000000-0005-0000-0000-00005E010000}"/>
    <cellStyle name="Vírgula 7 6 2" xfId="347" xr:uid="{00000000-0005-0000-0000-00005F010000}"/>
    <cellStyle name="Vírgula 7 7" xfId="271" xr:uid="{00000000-0005-0000-0000-000060010000}"/>
    <cellStyle name="Vírgula 8" xfId="58" xr:uid="{00000000-0005-0000-0000-000061010000}"/>
    <cellStyle name="Vírgula 8 2" xfId="171" xr:uid="{00000000-0005-0000-0000-000062010000}"/>
    <cellStyle name="Vírgula 8 2 2" xfId="237" xr:uid="{00000000-0005-0000-0000-000063010000}"/>
    <cellStyle name="Vírgula 8 2 2 2" xfId="352" xr:uid="{00000000-0005-0000-0000-000064010000}"/>
    <cellStyle name="Vírgula 8 2 3" xfId="306" xr:uid="{00000000-0005-0000-0000-000065010000}"/>
    <cellStyle name="Vírgula 8 3" xfId="172" xr:uid="{00000000-0005-0000-0000-000066010000}"/>
    <cellStyle name="Vírgula 8 3 2" xfId="238" xr:uid="{00000000-0005-0000-0000-000067010000}"/>
    <cellStyle name="Vírgula 8 3 2 2" xfId="353" xr:uid="{00000000-0005-0000-0000-000068010000}"/>
    <cellStyle name="Vírgula 8 3 3" xfId="307" xr:uid="{00000000-0005-0000-0000-000069010000}"/>
    <cellStyle name="Vírgula 8 4" xfId="236" xr:uid="{00000000-0005-0000-0000-00006A010000}"/>
    <cellStyle name="Vírgula 8 4 2" xfId="351" xr:uid="{00000000-0005-0000-0000-00006B010000}"/>
    <cellStyle name="Vírgula 8 5" xfId="276" xr:uid="{00000000-0005-0000-0000-00006C010000}"/>
    <cellStyle name="Vírgula 9" xfId="59" xr:uid="{00000000-0005-0000-0000-00006D010000}"/>
  </cellStyles>
  <dxfs count="13">
    <dxf>
      <fill>
        <patternFill patternType="none">
          <bgColor indexed="65"/>
        </patternFill>
      </fill>
    </dxf>
    <dxf>
      <font>
        <color indexed="9"/>
      </font>
      <fill>
        <patternFill patternType="none">
          <bgColor indexed="65"/>
        </patternFill>
      </fill>
      <border>
        <left/>
        <right/>
        <top/>
        <bottom/>
      </border>
    </dxf>
    <dxf>
      <font>
        <color theme="0"/>
      </font>
      <fill>
        <patternFill patternType="none">
          <bgColor indexed="65"/>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0</xdr:col>
          <xdr:colOff>0</xdr:colOff>
          <xdr:row>2</xdr:row>
          <xdr:rowOff>7620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69"/>
  <sheetViews>
    <sheetView showGridLines="0" tabSelected="1" topLeftCell="A77" zoomScale="85" zoomScaleNormal="85" zoomScaleSheetLayoutView="70" workbookViewId="0">
      <selection activeCell="I98" sqref="I98"/>
    </sheetView>
  </sheetViews>
  <sheetFormatPr defaultColWidth="9" defaultRowHeight="13.2" outlineLevelRow="1"/>
  <cols>
    <col min="1" max="1" width="2.5" style="5" customWidth="1"/>
    <col min="2" max="2" width="9.59765625" style="6" customWidth="1"/>
    <col min="3" max="4" width="12.59765625" style="6" customWidth="1"/>
    <col min="5" max="5" width="75.59765625" style="184" customWidth="1"/>
    <col min="6" max="6" width="7.59765625" style="5" customWidth="1"/>
    <col min="7" max="7" width="12.59765625" style="14" customWidth="1"/>
    <col min="8" max="8" width="15.59765625" style="14" customWidth="1"/>
    <col min="9" max="9" width="15.59765625" style="5" customWidth="1"/>
    <col min="10" max="10" width="17.59765625" style="5" customWidth="1"/>
    <col min="11" max="11" width="10.5" style="130" bestFit="1" customWidth="1"/>
    <col min="12" max="12" width="9" style="130"/>
    <col min="13" max="14" width="9.09765625" style="259" bestFit="1" customWidth="1"/>
    <col min="15" max="15" width="10.09765625" style="259" bestFit="1" customWidth="1"/>
    <col min="16" max="16" width="9" style="259"/>
    <col min="17" max="18" width="9" style="210"/>
    <col min="19" max="16384" width="9" style="130"/>
  </cols>
  <sheetData>
    <row r="1" spans="1:16" ht="12.75" customHeight="1">
      <c r="A1" s="37"/>
      <c r="B1" s="358" t="s">
        <v>204</v>
      </c>
      <c r="C1" s="358"/>
      <c r="D1" s="358"/>
      <c r="E1" s="358"/>
      <c r="F1" s="358"/>
      <c r="G1" s="358"/>
      <c r="H1" s="358"/>
      <c r="I1" s="358"/>
      <c r="J1" s="359"/>
    </row>
    <row r="2" spans="1:16" ht="14.25" customHeight="1">
      <c r="A2" s="37"/>
      <c r="B2" s="360"/>
      <c r="C2" s="360"/>
      <c r="D2" s="360"/>
      <c r="E2" s="360"/>
      <c r="F2" s="360"/>
      <c r="G2" s="360"/>
      <c r="H2" s="360"/>
      <c r="I2" s="360"/>
      <c r="J2" s="361"/>
    </row>
    <row r="3" spans="1:16" ht="15" customHeight="1" thickBot="1">
      <c r="A3" s="37"/>
      <c r="B3" s="362"/>
      <c r="C3" s="362"/>
      <c r="D3" s="362"/>
      <c r="E3" s="362"/>
      <c r="F3" s="362"/>
      <c r="G3" s="362"/>
      <c r="H3" s="362"/>
      <c r="I3" s="362"/>
      <c r="J3" s="363"/>
    </row>
    <row r="4" spans="1:16" ht="20.100000000000001" customHeight="1">
      <c r="A4" s="1"/>
      <c r="B4" s="2"/>
      <c r="C4" s="2"/>
      <c r="D4" s="2"/>
      <c r="E4" s="1"/>
      <c r="F4" s="1"/>
      <c r="G4" s="181"/>
      <c r="H4" s="181"/>
      <c r="I4" s="1"/>
      <c r="J4" s="1"/>
    </row>
    <row r="5" spans="1:16" ht="20.100000000000001" customHeight="1">
      <c r="A5" s="121"/>
      <c r="B5" s="121" t="str">
        <f>CRONOGRAMA!A4</f>
        <v>Obra: Construção da UBS</v>
      </c>
      <c r="C5" s="122"/>
      <c r="D5" s="122"/>
      <c r="E5" s="3"/>
      <c r="F5" s="42"/>
      <c r="G5" s="16"/>
      <c r="H5" s="16"/>
      <c r="I5" s="42"/>
    </row>
    <row r="6" spans="1:16" ht="20.100000000000001" customHeight="1">
      <c r="A6" s="121"/>
      <c r="B6" s="121" t="s">
        <v>1046</v>
      </c>
      <c r="C6" s="122"/>
      <c r="D6" s="122"/>
      <c r="E6" s="190"/>
      <c r="F6" s="364"/>
      <c r="G6" s="364"/>
      <c r="H6" s="364"/>
      <c r="I6" s="364"/>
      <c r="J6" s="364"/>
    </row>
    <row r="7" spans="1:16" ht="20.100000000000001" customHeight="1">
      <c r="A7" s="21"/>
      <c r="B7" s="121" t="str">
        <f>CRONOGRAMA!A5</f>
        <v>Município: Corguinho/MS</v>
      </c>
      <c r="C7" s="122"/>
      <c r="D7" s="122"/>
      <c r="E7" s="3"/>
      <c r="F7" s="42"/>
      <c r="G7" s="16"/>
      <c r="H7" s="16"/>
      <c r="I7" s="168" t="s">
        <v>1049</v>
      </c>
    </row>
    <row r="8" spans="1:16" ht="20.100000000000001" customHeight="1">
      <c r="A8" s="8"/>
      <c r="B8" s="121" t="str">
        <f>CRONOGRAMA!A6</f>
        <v>Endereço: Assentamento Torre de Pedra</v>
      </c>
      <c r="C8" s="8"/>
      <c r="D8" s="8"/>
      <c r="E8" s="183"/>
      <c r="F8" s="8"/>
      <c r="G8" s="123"/>
      <c r="H8" s="123"/>
      <c r="I8" s="168" t="s">
        <v>1050</v>
      </c>
      <c r="J8" s="145"/>
    </row>
    <row r="9" spans="1:16" ht="20.100000000000001" customHeight="1">
      <c r="I9" s="195" t="s">
        <v>326</v>
      </c>
      <c r="J9" s="347">
        <v>0.28820000000000001</v>
      </c>
    </row>
    <row r="10" spans="1:16" ht="20.100000000000001" customHeight="1">
      <c r="A10" s="123"/>
      <c r="B10" s="124"/>
      <c r="C10" s="124"/>
      <c r="D10" s="124"/>
      <c r="E10" s="117" t="s">
        <v>276</v>
      </c>
      <c r="F10" s="124"/>
      <c r="G10" s="18"/>
      <c r="H10" s="18"/>
      <c r="I10" s="147"/>
      <c r="J10" s="148"/>
    </row>
    <row r="11" spans="1:16" ht="20.100000000000001" customHeight="1" thickBot="1">
      <c r="A11" s="123"/>
      <c r="B11" s="123"/>
      <c r="C11" s="123"/>
      <c r="D11" s="123"/>
      <c r="E11" s="185"/>
      <c r="F11" s="123"/>
      <c r="G11" s="17"/>
      <c r="H11" s="17"/>
      <c r="I11" s="123"/>
      <c r="J11" s="149"/>
    </row>
    <row r="12" spans="1:16" ht="44.25" customHeight="1" thickBot="1">
      <c r="A12" s="4"/>
      <c r="B12" s="43" t="s">
        <v>16</v>
      </c>
      <c r="C12" s="38" t="s">
        <v>17</v>
      </c>
      <c r="D12" s="38" t="s">
        <v>18</v>
      </c>
      <c r="E12" s="38" t="s">
        <v>19</v>
      </c>
      <c r="F12" s="38" t="s">
        <v>140</v>
      </c>
      <c r="G12" s="39" t="s">
        <v>20</v>
      </c>
      <c r="H12" s="40" t="s">
        <v>195</v>
      </c>
      <c r="I12" s="40" t="s">
        <v>196</v>
      </c>
      <c r="J12" s="41" t="s">
        <v>21</v>
      </c>
    </row>
    <row r="13" spans="1:16" ht="20.100000000000001" customHeight="1">
      <c r="A13" s="21"/>
      <c r="B13" s="365" t="s">
        <v>219</v>
      </c>
      <c r="C13" s="365"/>
      <c r="D13" s="365"/>
      <c r="E13" s="365"/>
      <c r="F13" s="365"/>
      <c r="G13" s="365"/>
      <c r="H13" s="365"/>
      <c r="I13" s="365"/>
      <c r="J13" s="365"/>
    </row>
    <row r="14" spans="1:16" ht="20.100000000000001" customHeight="1">
      <c r="A14" s="21"/>
      <c r="B14" s="125">
        <v>1</v>
      </c>
      <c r="C14" s="125"/>
      <c r="D14" s="125"/>
      <c r="E14" s="186" t="s">
        <v>105</v>
      </c>
      <c r="F14" s="120"/>
      <c r="G14" s="150"/>
      <c r="H14" s="151"/>
      <c r="I14" s="125"/>
      <c r="J14" s="152">
        <f>J20</f>
        <v>30581.49</v>
      </c>
    </row>
    <row r="15" spans="1:16" ht="20.100000000000001" customHeight="1" outlineLevel="1">
      <c r="A15" s="21"/>
      <c r="B15" s="119" t="s">
        <v>22</v>
      </c>
      <c r="C15" s="119" t="s">
        <v>335</v>
      </c>
      <c r="D15" s="12" t="s">
        <v>203</v>
      </c>
      <c r="E15" s="104" t="s">
        <v>200</v>
      </c>
      <c r="F15" s="119" t="s">
        <v>28</v>
      </c>
      <c r="G15" s="153">
        <f>'MEMÓRIA DE CÁLCULO'!C6</f>
        <v>8</v>
      </c>
      <c r="H15" s="154">
        <f>COMPOSIÇÃO!E18</f>
        <v>299.74</v>
      </c>
      <c r="I15" s="153">
        <f>TRUNC(H15*$J$9+H15,2)</f>
        <v>386.12</v>
      </c>
      <c r="J15" s="153">
        <f t="shared" ref="J15:J19" si="0">TRUNC(I15*G15,2)</f>
        <v>3088.96</v>
      </c>
      <c r="M15" s="259">
        <v>260.27</v>
      </c>
    </row>
    <row r="16" spans="1:16" s="134" customFormat="1" ht="20.100000000000001" customHeight="1" outlineLevel="1">
      <c r="A16" s="131"/>
      <c r="B16" s="119" t="s">
        <v>36</v>
      </c>
      <c r="C16" s="199" t="s">
        <v>337</v>
      </c>
      <c r="D16" s="198" t="s">
        <v>338</v>
      </c>
      <c r="E16" s="200" t="s">
        <v>339</v>
      </c>
      <c r="F16" s="208" t="s">
        <v>292</v>
      </c>
      <c r="G16" s="203">
        <f>'MEMÓRIA DE CÁLCULO'!C12</f>
        <v>60</v>
      </c>
      <c r="H16" s="203">
        <v>5.2</v>
      </c>
      <c r="I16" s="212">
        <f t="shared" ref="I16:I19" si="1">TRUNC(H16*$J$9+H16,2)</f>
        <v>6.69</v>
      </c>
      <c r="J16" s="212">
        <f t="shared" si="0"/>
        <v>401.4</v>
      </c>
      <c r="M16" s="260">
        <v>3.7</v>
      </c>
      <c r="N16" s="260"/>
      <c r="O16" s="260"/>
      <c r="P16" s="260"/>
    </row>
    <row r="17" spans="1:16" s="134" customFormat="1" ht="20.100000000000001" customHeight="1" outlineLevel="1">
      <c r="A17" s="131"/>
      <c r="B17" s="119" t="s">
        <v>38</v>
      </c>
      <c r="C17" s="199" t="s">
        <v>340</v>
      </c>
      <c r="D17" s="198" t="s">
        <v>338</v>
      </c>
      <c r="E17" s="201" t="s">
        <v>341</v>
      </c>
      <c r="F17" s="209" t="s">
        <v>342</v>
      </c>
      <c r="G17" s="203">
        <f>'MEMÓRIA DE CÁLCULO'!C18</f>
        <v>2000</v>
      </c>
      <c r="H17" s="213">
        <v>0.63</v>
      </c>
      <c r="I17" s="212">
        <f t="shared" si="1"/>
        <v>0.81</v>
      </c>
      <c r="J17" s="212">
        <f t="shared" si="0"/>
        <v>1620</v>
      </c>
      <c r="M17" s="260">
        <v>0.45</v>
      </c>
      <c r="N17" s="260"/>
      <c r="O17" s="260"/>
      <c r="P17" s="260"/>
    </row>
    <row r="18" spans="1:16" s="134" customFormat="1" ht="20.100000000000001" customHeight="1" outlineLevel="1">
      <c r="A18" s="131"/>
      <c r="B18" s="119" t="s">
        <v>39</v>
      </c>
      <c r="C18" s="135">
        <v>93584</v>
      </c>
      <c r="D18" s="136" t="s">
        <v>37</v>
      </c>
      <c r="E18" s="333" t="s">
        <v>1072</v>
      </c>
      <c r="F18" s="119" t="s">
        <v>28</v>
      </c>
      <c r="G18" s="154">
        <f>'MEMÓRIA DE CÁLCULO'!C23</f>
        <v>21.780000000000005</v>
      </c>
      <c r="H18" s="213">
        <v>656.74</v>
      </c>
      <c r="I18" s="212">
        <f t="shared" si="1"/>
        <v>846.01</v>
      </c>
      <c r="J18" s="212">
        <f t="shared" si="0"/>
        <v>18426.09</v>
      </c>
      <c r="M18" s="260">
        <v>402.82</v>
      </c>
      <c r="N18" s="260"/>
      <c r="O18" s="260"/>
      <c r="P18" s="260"/>
    </row>
    <row r="19" spans="1:16" ht="29.4" customHeight="1" outlineLevel="1">
      <c r="A19" s="21"/>
      <c r="B19" s="119" t="s">
        <v>40</v>
      </c>
      <c r="C19" s="119">
        <v>99059</v>
      </c>
      <c r="D19" s="12" t="s">
        <v>203</v>
      </c>
      <c r="E19" s="115" t="s">
        <v>270</v>
      </c>
      <c r="F19" s="119" t="s">
        <v>271</v>
      </c>
      <c r="G19" s="153">
        <f>'MEMÓRIA DE CÁLCULO'!C26</f>
        <v>141.78</v>
      </c>
      <c r="H19" s="213">
        <v>38.58</v>
      </c>
      <c r="I19" s="212">
        <f t="shared" si="1"/>
        <v>49.69</v>
      </c>
      <c r="J19" s="212">
        <f t="shared" si="0"/>
        <v>7045.04</v>
      </c>
      <c r="M19" s="259">
        <v>22.63</v>
      </c>
    </row>
    <row r="20" spans="1:16" ht="20.100000000000001" customHeight="1" outlineLevel="1">
      <c r="A20" s="21"/>
      <c r="B20" s="127"/>
      <c r="C20" s="127"/>
      <c r="D20" s="127"/>
      <c r="E20" s="127"/>
      <c r="F20" s="127"/>
      <c r="G20" s="11"/>
      <c r="H20" s="143" t="s">
        <v>61</v>
      </c>
      <c r="I20" s="11"/>
      <c r="J20" s="155">
        <f>SUM(J15:J19)</f>
        <v>30581.49</v>
      </c>
      <c r="M20" s="259" t="s">
        <v>61</v>
      </c>
    </row>
    <row r="21" spans="1:16" ht="20.100000000000001" customHeight="1">
      <c r="A21" s="21"/>
      <c r="B21" s="21"/>
      <c r="C21" s="21"/>
      <c r="D21" s="21"/>
      <c r="E21" s="3"/>
      <c r="F21" s="21"/>
      <c r="G21" s="15"/>
      <c r="H21" s="156"/>
      <c r="I21" s="21"/>
      <c r="J21" s="157"/>
    </row>
    <row r="22" spans="1:16" ht="20.100000000000001" customHeight="1">
      <c r="A22" s="21"/>
      <c r="B22" s="125">
        <v>2</v>
      </c>
      <c r="C22" s="125"/>
      <c r="D22" s="125"/>
      <c r="E22" s="187" t="s">
        <v>286</v>
      </c>
      <c r="F22" s="120"/>
      <c r="G22" s="150"/>
      <c r="H22" s="158"/>
      <c r="I22" s="125"/>
      <c r="J22" s="152">
        <f>J29</f>
        <v>0</v>
      </c>
    </row>
    <row r="23" spans="1:16" ht="20.100000000000001" hidden="1" customHeight="1">
      <c r="A23" s="21"/>
      <c r="B23" s="116" t="s">
        <v>24</v>
      </c>
      <c r="C23" s="191">
        <v>97627</v>
      </c>
      <c r="D23" s="119" t="s">
        <v>203</v>
      </c>
      <c r="E23" s="192" t="s">
        <v>287</v>
      </c>
      <c r="F23" s="116" t="s">
        <v>292</v>
      </c>
      <c r="G23" s="153"/>
      <c r="H23" s="154"/>
      <c r="I23" s="212">
        <f t="shared" ref="I23:I28" si="2">TRUNC(H23*$J$9+H23,2)</f>
        <v>0</v>
      </c>
      <c r="J23" s="212">
        <f t="shared" ref="J23:J28" si="3">TRUNC(I23*G23,2)</f>
        <v>0</v>
      </c>
      <c r="M23" s="259">
        <v>139.82</v>
      </c>
    </row>
    <row r="24" spans="1:16" ht="20.100000000000001" hidden="1" customHeight="1">
      <c r="A24" s="21"/>
      <c r="B24" s="116" t="s">
        <v>41</v>
      </c>
      <c r="C24" s="191">
        <v>97622</v>
      </c>
      <c r="D24" s="119" t="s">
        <v>203</v>
      </c>
      <c r="E24" s="192" t="s">
        <v>288</v>
      </c>
      <c r="F24" s="116" t="s">
        <v>292</v>
      </c>
      <c r="G24" s="153"/>
      <c r="H24" s="154"/>
      <c r="I24" s="212">
        <f t="shared" si="2"/>
        <v>0</v>
      </c>
      <c r="J24" s="212">
        <f t="shared" si="3"/>
        <v>0</v>
      </c>
      <c r="M24" s="259">
        <v>26.27</v>
      </c>
    </row>
    <row r="25" spans="1:16" ht="20.100000000000001" hidden="1" customHeight="1">
      <c r="A25" s="21"/>
      <c r="B25" s="116" t="s">
        <v>42</v>
      </c>
      <c r="C25" s="191">
        <v>97640</v>
      </c>
      <c r="D25" s="119" t="s">
        <v>203</v>
      </c>
      <c r="E25" s="192" t="s">
        <v>318</v>
      </c>
      <c r="F25" s="116" t="s">
        <v>293</v>
      </c>
      <c r="G25" s="153"/>
      <c r="H25" s="154"/>
      <c r="I25" s="212">
        <f t="shared" si="2"/>
        <v>0</v>
      </c>
      <c r="J25" s="212">
        <f t="shared" si="3"/>
        <v>0</v>
      </c>
      <c r="M25" s="259">
        <v>0.82000000000000006</v>
      </c>
    </row>
    <row r="26" spans="1:16" ht="20.100000000000001" hidden="1" customHeight="1">
      <c r="A26" s="21"/>
      <c r="B26" s="116" t="s">
        <v>43</v>
      </c>
      <c r="C26" s="191">
        <v>97634</v>
      </c>
      <c r="D26" s="119" t="s">
        <v>203</v>
      </c>
      <c r="E26" s="192" t="s">
        <v>289</v>
      </c>
      <c r="F26" s="116" t="s">
        <v>293</v>
      </c>
      <c r="G26" s="153"/>
      <c r="H26" s="154"/>
      <c r="I26" s="212">
        <f t="shared" si="2"/>
        <v>0</v>
      </c>
      <c r="J26" s="212">
        <f t="shared" si="3"/>
        <v>0</v>
      </c>
      <c r="M26" s="259">
        <v>6.07</v>
      </c>
    </row>
    <row r="27" spans="1:16" ht="20.100000000000001" hidden="1" customHeight="1">
      <c r="A27" s="21"/>
      <c r="B27" s="116" t="s">
        <v>273</v>
      </c>
      <c r="C27" s="191">
        <v>97647</v>
      </c>
      <c r="D27" s="119" t="s">
        <v>203</v>
      </c>
      <c r="E27" s="192" t="s">
        <v>290</v>
      </c>
      <c r="F27" s="116" t="s">
        <v>293</v>
      </c>
      <c r="G27" s="153"/>
      <c r="H27" s="154"/>
      <c r="I27" s="212">
        <f t="shared" si="2"/>
        <v>0</v>
      </c>
      <c r="J27" s="212">
        <f t="shared" si="3"/>
        <v>0</v>
      </c>
      <c r="M27" s="259">
        <v>1.62</v>
      </c>
    </row>
    <row r="28" spans="1:16" ht="28.2" hidden="1" customHeight="1">
      <c r="A28" s="21"/>
      <c r="B28" s="116" t="s">
        <v>291</v>
      </c>
      <c r="C28" s="116">
        <v>72899</v>
      </c>
      <c r="D28" s="116" t="s">
        <v>203</v>
      </c>
      <c r="E28" s="115" t="s">
        <v>294</v>
      </c>
      <c r="F28" s="116" t="s">
        <v>292</v>
      </c>
      <c r="G28" s="153"/>
      <c r="H28" s="154"/>
      <c r="I28" s="212">
        <f t="shared" si="2"/>
        <v>0</v>
      </c>
      <c r="J28" s="212">
        <f t="shared" si="3"/>
        <v>0</v>
      </c>
      <c r="M28" s="259">
        <v>2.76</v>
      </c>
    </row>
    <row r="29" spans="1:16" ht="20.100000000000001" customHeight="1">
      <c r="A29" s="21"/>
      <c r="B29" s="127"/>
      <c r="C29" s="127"/>
      <c r="D29" s="127"/>
      <c r="E29" s="127"/>
      <c r="F29" s="127"/>
      <c r="G29" s="11"/>
      <c r="H29" s="143" t="s">
        <v>61</v>
      </c>
      <c r="I29" s="11"/>
      <c r="J29" s="155">
        <f>SUM(J23:J28)</f>
        <v>0</v>
      </c>
      <c r="M29" s="259" t="s">
        <v>61</v>
      </c>
    </row>
    <row r="30" spans="1:16" ht="20.100000000000001" customHeight="1">
      <c r="A30" s="21"/>
      <c r="B30" s="21"/>
      <c r="C30" s="21"/>
      <c r="D30" s="21"/>
      <c r="E30" s="3"/>
      <c r="F30" s="21"/>
      <c r="G30" s="15"/>
      <c r="H30" s="156"/>
      <c r="I30" s="21"/>
      <c r="J30" s="157"/>
    </row>
    <row r="31" spans="1:16" ht="20.100000000000001" customHeight="1">
      <c r="A31" s="21"/>
      <c r="B31" s="125">
        <v>3</v>
      </c>
      <c r="C31" s="125"/>
      <c r="D31" s="125"/>
      <c r="E31" s="187" t="s">
        <v>130</v>
      </c>
      <c r="F31" s="120"/>
      <c r="G31" s="150"/>
      <c r="H31" s="158"/>
      <c r="I31" s="125"/>
      <c r="J31" s="152">
        <f>J37</f>
        <v>9492.35</v>
      </c>
    </row>
    <row r="32" spans="1:16" ht="18.75" customHeight="1" outlineLevel="1">
      <c r="A32" s="21"/>
      <c r="B32" s="116" t="s">
        <v>25</v>
      </c>
      <c r="C32" s="116">
        <v>368</v>
      </c>
      <c r="D32" s="116" t="s">
        <v>203</v>
      </c>
      <c r="E32" s="115" t="s">
        <v>272</v>
      </c>
      <c r="F32" s="116" t="s">
        <v>26</v>
      </c>
      <c r="G32" s="153">
        <f>'MEMÓRIA DE CÁLCULO'!C65</f>
        <v>42.533999999999999</v>
      </c>
      <c r="H32" s="213">
        <v>33.75</v>
      </c>
      <c r="I32" s="212">
        <f t="shared" ref="I32:I36" si="4">TRUNC(H32*$J$9+H32,2)</f>
        <v>43.47</v>
      </c>
      <c r="J32" s="212">
        <f t="shared" ref="J32:J36" si="5">TRUNC(I32*G32,2)</f>
        <v>1848.95</v>
      </c>
      <c r="M32" s="259">
        <v>26.71</v>
      </c>
    </row>
    <row r="33" spans="1:24" ht="31.2" customHeight="1" outlineLevel="1">
      <c r="A33" s="21"/>
      <c r="B33" s="116" t="s">
        <v>33</v>
      </c>
      <c r="C33" s="116">
        <v>97912</v>
      </c>
      <c r="D33" s="116" t="s">
        <v>203</v>
      </c>
      <c r="E33" s="115" t="s">
        <v>275</v>
      </c>
      <c r="F33" s="116" t="s">
        <v>274</v>
      </c>
      <c r="G33" s="153">
        <f>'MEMÓRIA DE CÁLCULO'!C70</f>
        <v>1105.884</v>
      </c>
      <c r="H33" s="213">
        <v>2.37</v>
      </c>
      <c r="I33" s="212">
        <f t="shared" si="4"/>
        <v>3.05</v>
      </c>
      <c r="J33" s="212">
        <f t="shared" si="5"/>
        <v>3372.94</v>
      </c>
      <c r="M33" s="259">
        <v>1.1500000000000001</v>
      </c>
    </row>
    <row r="34" spans="1:24" ht="20.100000000000001" customHeight="1" outlineLevel="1">
      <c r="A34" s="21"/>
      <c r="B34" s="116" t="s">
        <v>295</v>
      </c>
      <c r="C34" s="108">
        <v>96527</v>
      </c>
      <c r="D34" s="116" t="s">
        <v>203</v>
      </c>
      <c r="E34" s="115" t="s">
        <v>159</v>
      </c>
      <c r="F34" s="116" t="s">
        <v>26</v>
      </c>
      <c r="G34" s="153">
        <f>'MEMÓRIA DE CÁLCULO'!C84</f>
        <v>30.683199999999999</v>
      </c>
      <c r="H34" s="213">
        <v>86.19</v>
      </c>
      <c r="I34" s="212">
        <f t="shared" si="4"/>
        <v>111.02</v>
      </c>
      <c r="J34" s="212">
        <f t="shared" si="5"/>
        <v>3406.44</v>
      </c>
      <c r="M34" s="259">
        <v>39.950000000000003</v>
      </c>
      <c r="S34" s="130" t="s">
        <v>319</v>
      </c>
      <c r="T34" s="130">
        <v>400.67</v>
      </c>
      <c r="W34" s="130">
        <f>V34+U34+T34</f>
        <v>400.67</v>
      </c>
    </row>
    <row r="35" spans="1:24" ht="20.100000000000001" customHeight="1" outlineLevel="1">
      <c r="A35" s="21"/>
      <c r="B35" s="116" t="s">
        <v>296</v>
      </c>
      <c r="C35" s="108">
        <v>101616</v>
      </c>
      <c r="D35" s="116" t="s">
        <v>203</v>
      </c>
      <c r="E35" s="115" t="s">
        <v>160</v>
      </c>
      <c r="F35" s="116" t="s">
        <v>28</v>
      </c>
      <c r="G35" s="153">
        <f>'MEMÓRIA DE CÁLCULO'!C96</f>
        <v>76.707999999999998</v>
      </c>
      <c r="H35" s="213">
        <v>4.18</v>
      </c>
      <c r="I35" s="212">
        <f t="shared" si="4"/>
        <v>5.38</v>
      </c>
      <c r="J35" s="212">
        <f t="shared" si="5"/>
        <v>412.68</v>
      </c>
      <c r="M35" s="259">
        <v>3.36</v>
      </c>
      <c r="V35" s="130" t="s">
        <v>320</v>
      </c>
      <c r="W35" s="130">
        <f>W34/0.2</f>
        <v>2003.35</v>
      </c>
      <c r="X35" s="130">
        <f>W35*(0.2+0.2+0.4+0.4+0.1)*0.245</f>
        <v>638.06697500000007</v>
      </c>
    </row>
    <row r="36" spans="1:24" ht="20.100000000000001" customHeight="1" outlineLevel="1">
      <c r="A36" s="21"/>
      <c r="B36" s="116" t="s">
        <v>297</v>
      </c>
      <c r="C36" s="108">
        <v>93360</v>
      </c>
      <c r="D36" s="116" t="s">
        <v>203</v>
      </c>
      <c r="E36" s="115" t="s">
        <v>161</v>
      </c>
      <c r="F36" s="116" t="s">
        <v>26</v>
      </c>
      <c r="G36" s="153">
        <f>'MEMÓRIA DE CÁLCULO'!C110</f>
        <v>22.332800000000002</v>
      </c>
      <c r="H36" s="213">
        <v>15.69</v>
      </c>
      <c r="I36" s="212">
        <f t="shared" si="4"/>
        <v>20.21</v>
      </c>
      <c r="J36" s="212">
        <f t="shared" si="5"/>
        <v>451.34</v>
      </c>
      <c r="M36" s="259">
        <v>10.029999999999999</v>
      </c>
    </row>
    <row r="37" spans="1:24" ht="20.100000000000001" customHeight="1" outlineLevel="1">
      <c r="A37" s="21"/>
      <c r="B37" s="127"/>
      <c r="C37" s="127"/>
      <c r="D37" s="127"/>
      <c r="E37" s="127"/>
      <c r="F37" s="127"/>
      <c r="G37" s="11"/>
      <c r="H37" s="143" t="s">
        <v>61</v>
      </c>
      <c r="I37" s="11"/>
      <c r="J37" s="155">
        <f>SUM(J32:J36)</f>
        <v>9492.35</v>
      </c>
      <c r="M37" s="259" t="s">
        <v>61</v>
      </c>
    </row>
    <row r="38" spans="1:24" ht="20.100000000000001" customHeight="1">
      <c r="A38" s="21"/>
      <c r="B38" s="21"/>
      <c r="C38" s="21"/>
      <c r="D38" s="21"/>
      <c r="E38" s="3"/>
      <c r="F38" s="21"/>
      <c r="G38" s="15"/>
      <c r="H38" s="156"/>
      <c r="I38" s="21"/>
      <c r="J38" s="157"/>
    </row>
    <row r="39" spans="1:24" ht="20.100000000000001" customHeight="1">
      <c r="A39" s="21"/>
      <c r="B39" s="125">
        <v>4</v>
      </c>
      <c r="C39" s="125"/>
      <c r="D39" s="125"/>
      <c r="E39" s="187" t="s">
        <v>59</v>
      </c>
      <c r="F39" s="120"/>
      <c r="G39" s="151"/>
      <c r="H39" s="158"/>
      <c r="I39" s="125"/>
      <c r="J39" s="152">
        <f>J57</f>
        <v>41198.350000000006</v>
      </c>
    </row>
    <row r="40" spans="1:24" ht="20.100000000000001" customHeight="1" outlineLevel="1">
      <c r="A40" s="21"/>
      <c r="B40" s="124" t="s">
        <v>27</v>
      </c>
      <c r="C40" s="124"/>
      <c r="D40" s="124"/>
      <c r="E40" s="127" t="s">
        <v>282</v>
      </c>
      <c r="F40" s="126"/>
      <c r="G40" s="153"/>
      <c r="H40" s="159"/>
      <c r="I40" s="153"/>
      <c r="J40" s="153"/>
    </row>
    <row r="41" spans="1:24" s="134" customFormat="1" ht="25.2" customHeight="1" outlineLevel="1">
      <c r="A41" s="131"/>
      <c r="B41" s="135" t="s">
        <v>76</v>
      </c>
      <c r="C41" s="209">
        <v>101175</v>
      </c>
      <c r="D41" s="116" t="s">
        <v>203</v>
      </c>
      <c r="E41" s="335" t="s">
        <v>277</v>
      </c>
      <c r="F41" s="135" t="s">
        <v>32</v>
      </c>
      <c r="G41" s="154">
        <f>'MEMÓRIA DE CÁLCULO'!C115</f>
        <v>132</v>
      </c>
      <c r="H41" s="213">
        <v>84.57</v>
      </c>
      <c r="I41" s="212">
        <f t="shared" ref="I41:I48" si="6">TRUNC(H41*$J$9+H41,2)</f>
        <v>108.94</v>
      </c>
      <c r="J41" s="212">
        <f t="shared" ref="J41:J48" si="7">TRUNC(I41*G41,2)</f>
        <v>14380.08</v>
      </c>
      <c r="M41" s="260">
        <v>59.120000000000005</v>
      </c>
      <c r="N41" s="260"/>
      <c r="O41" s="260"/>
      <c r="P41" s="260"/>
    </row>
    <row r="42" spans="1:24" s="134" customFormat="1" ht="25.2" customHeight="1" outlineLevel="1">
      <c r="A42" s="131"/>
      <c r="B42" s="211" t="s">
        <v>77</v>
      </c>
      <c r="C42" s="119">
        <v>92718</v>
      </c>
      <c r="D42" s="116" t="s">
        <v>203</v>
      </c>
      <c r="E42" s="335" t="s">
        <v>1075</v>
      </c>
      <c r="F42" s="116" t="s">
        <v>26</v>
      </c>
      <c r="G42" s="154">
        <f>'MEMÓRIA DE CÁLCULO'!C122</f>
        <v>1.4080000000000004</v>
      </c>
      <c r="H42" s="213">
        <v>517.19000000000005</v>
      </c>
      <c r="I42" s="212">
        <f t="shared" si="6"/>
        <v>666.24</v>
      </c>
      <c r="J42" s="212">
        <f t="shared" si="7"/>
        <v>938.06</v>
      </c>
      <c r="M42" s="260">
        <v>316.49</v>
      </c>
      <c r="N42" s="260"/>
      <c r="O42" s="260"/>
      <c r="P42" s="260"/>
    </row>
    <row r="43" spans="1:24" s="134" customFormat="1" ht="25.2" customHeight="1" outlineLevel="1">
      <c r="A43" s="131"/>
      <c r="B43" s="211" t="s">
        <v>78</v>
      </c>
      <c r="C43" s="119">
        <v>96544</v>
      </c>
      <c r="D43" s="116" t="s">
        <v>203</v>
      </c>
      <c r="E43" s="170" t="s">
        <v>283</v>
      </c>
      <c r="F43" s="135" t="s">
        <v>280</v>
      </c>
      <c r="G43" s="154">
        <f>'MEMÓRIA DE CÁLCULO'!C130</f>
        <v>31.612350000000003</v>
      </c>
      <c r="H43" s="213">
        <v>14.61</v>
      </c>
      <c r="I43" s="212">
        <f t="shared" si="6"/>
        <v>18.82</v>
      </c>
      <c r="J43" s="212">
        <f t="shared" si="7"/>
        <v>594.94000000000005</v>
      </c>
      <c r="M43" s="260">
        <v>7.6</v>
      </c>
      <c r="N43" s="260"/>
      <c r="O43" s="260"/>
      <c r="P43" s="260"/>
    </row>
    <row r="44" spans="1:24" s="134" customFormat="1" ht="25.2" customHeight="1" outlineLevel="1">
      <c r="A44" s="131"/>
      <c r="B44" s="211" t="s">
        <v>79</v>
      </c>
      <c r="C44" s="119">
        <v>96546</v>
      </c>
      <c r="D44" s="116" t="s">
        <v>203</v>
      </c>
      <c r="E44" s="170" t="s">
        <v>281</v>
      </c>
      <c r="F44" s="135" t="s">
        <v>280</v>
      </c>
      <c r="G44" s="154">
        <f>'MEMÓRIA DE CÁLCULO'!C138</f>
        <v>159.22301999999999</v>
      </c>
      <c r="H44" s="213">
        <v>12.35</v>
      </c>
      <c r="I44" s="212">
        <f t="shared" si="6"/>
        <v>15.9</v>
      </c>
      <c r="J44" s="212">
        <f t="shared" si="7"/>
        <v>2531.64</v>
      </c>
      <c r="M44" s="260">
        <v>6.14</v>
      </c>
      <c r="N44" s="260"/>
      <c r="O44" s="260"/>
      <c r="P44" s="260"/>
    </row>
    <row r="45" spans="1:24" ht="25.2" customHeight="1" outlineLevel="1">
      <c r="A45" s="21"/>
      <c r="B45" s="211" t="s">
        <v>332</v>
      </c>
      <c r="C45" s="105">
        <v>95241</v>
      </c>
      <c r="D45" s="116" t="s">
        <v>203</v>
      </c>
      <c r="E45" s="115" t="s">
        <v>131</v>
      </c>
      <c r="F45" s="119" t="s">
        <v>28</v>
      </c>
      <c r="G45" s="153">
        <f>'MEMÓRIA DE CÁLCULO'!C145</f>
        <v>0.17600000000000005</v>
      </c>
      <c r="H45" s="213">
        <v>20.61</v>
      </c>
      <c r="I45" s="212">
        <f t="shared" si="6"/>
        <v>26.54</v>
      </c>
      <c r="J45" s="212">
        <f t="shared" si="7"/>
        <v>4.67</v>
      </c>
      <c r="M45" s="259">
        <v>13.11</v>
      </c>
    </row>
    <row r="46" spans="1:24" ht="25.2" customHeight="1" outlineLevel="1">
      <c r="A46" s="21"/>
      <c r="B46" s="211" t="s">
        <v>298</v>
      </c>
      <c r="C46" s="209">
        <v>96528</v>
      </c>
      <c r="D46" s="119" t="s">
        <v>203</v>
      </c>
      <c r="E46" s="115" t="s">
        <v>316</v>
      </c>
      <c r="F46" s="119" t="s">
        <v>28</v>
      </c>
      <c r="G46" s="153">
        <f>'MEMÓRIA DE CÁLCULO'!C152</f>
        <v>14.080000000000002</v>
      </c>
      <c r="H46" s="213">
        <v>134.54</v>
      </c>
      <c r="I46" s="212">
        <f t="shared" si="6"/>
        <v>173.31</v>
      </c>
      <c r="J46" s="212">
        <f t="shared" si="7"/>
        <v>2440.1999999999998</v>
      </c>
      <c r="M46" s="259">
        <v>26.04</v>
      </c>
    </row>
    <row r="47" spans="1:24" ht="25.2" customHeight="1" outlineLevel="1">
      <c r="A47" s="21"/>
      <c r="B47" s="211" t="s">
        <v>333</v>
      </c>
      <c r="C47" s="209">
        <v>96555</v>
      </c>
      <c r="D47" s="116" t="s">
        <v>203</v>
      </c>
      <c r="E47" s="207" t="s">
        <v>1091</v>
      </c>
      <c r="F47" s="119" t="s">
        <v>26</v>
      </c>
      <c r="G47" s="153">
        <f>'MEMÓRIA DE CÁLCULO'!C159</f>
        <v>1.4080000000000004</v>
      </c>
      <c r="H47" s="213">
        <v>490.05</v>
      </c>
      <c r="I47" s="212">
        <f t="shared" si="6"/>
        <v>631.28</v>
      </c>
      <c r="J47" s="212">
        <f t="shared" si="7"/>
        <v>888.84</v>
      </c>
      <c r="M47" s="259">
        <v>266.75</v>
      </c>
    </row>
    <row r="48" spans="1:24" ht="25.2" customHeight="1" outlineLevel="1">
      <c r="A48" s="21"/>
      <c r="B48" s="211" t="s">
        <v>299</v>
      </c>
      <c r="C48" s="119">
        <v>92873</v>
      </c>
      <c r="D48" s="116" t="s">
        <v>203</v>
      </c>
      <c r="E48" s="115" t="s">
        <v>285</v>
      </c>
      <c r="F48" s="119" t="s">
        <v>26</v>
      </c>
      <c r="G48" s="153">
        <f>G47</f>
        <v>1.4080000000000004</v>
      </c>
      <c r="H48" s="213">
        <v>148.62</v>
      </c>
      <c r="I48" s="212">
        <f t="shared" si="6"/>
        <v>191.45</v>
      </c>
      <c r="J48" s="212">
        <f t="shared" si="7"/>
        <v>269.56</v>
      </c>
      <c r="M48" s="259">
        <v>102.52000000000001</v>
      </c>
    </row>
    <row r="49" spans="1:16" ht="20.100000000000001" customHeight="1" outlineLevel="1">
      <c r="A49" s="21"/>
      <c r="B49" s="124"/>
      <c r="C49" s="124"/>
      <c r="D49" s="124"/>
      <c r="E49" s="127" t="s">
        <v>129</v>
      </c>
      <c r="F49" s="126"/>
      <c r="G49" s="153"/>
      <c r="H49" s="154"/>
      <c r="I49" s="153"/>
      <c r="J49" s="153"/>
    </row>
    <row r="50" spans="1:16" ht="20.100000000000001" customHeight="1" outlineLevel="1">
      <c r="A50" s="21"/>
      <c r="B50" s="135" t="s">
        <v>300</v>
      </c>
      <c r="C50" s="206">
        <v>95241</v>
      </c>
      <c r="D50" s="116" t="s">
        <v>203</v>
      </c>
      <c r="E50" s="115" t="s">
        <v>131</v>
      </c>
      <c r="F50" s="119" t="s">
        <v>26</v>
      </c>
      <c r="G50" s="153">
        <f>'MEMÓRIA DE CÁLCULO'!C168</f>
        <v>2.0876000000000001</v>
      </c>
      <c r="H50" s="213">
        <v>20.61</v>
      </c>
      <c r="I50" s="212">
        <f t="shared" ref="I50:I56" si="8">TRUNC(H50*$J$9+H50,2)</f>
        <v>26.54</v>
      </c>
      <c r="J50" s="212">
        <f t="shared" ref="J50:J56" si="9">TRUNC(I50*G50,2)</f>
        <v>55.4</v>
      </c>
      <c r="M50" s="259">
        <v>13.11</v>
      </c>
    </row>
    <row r="51" spans="1:16" ht="26.4" outlineLevel="1">
      <c r="A51" s="21"/>
      <c r="B51" s="135" t="s">
        <v>301</v>
      </c>
      <c r="C51" s="209">
        <v>96536</v>
      </c>
      <c r="D51" s="119" t="s">
        <v>203</v>
      </c>
      <c r="E51" s="115" t="s">
        <v>316</v>
      </c>
      <c r="F51" s="119" t="s">
        <v>28</v>
      </c>
      <c r="G51" s="194">
        <f>'MEMÓRIA DE CÁLCULO'!C174</f>
        <v>83.504000000000005</v>
      </c>
      <c r="H51" s="213">
        <v>51.48</v>
      </c>
      <c r="I51" s="212">
        <f t="shared" si="8"/>
        <v>66.31</v>
      </c>
      <c r="J51" s="212">
        <f t="shared" si="9"/>
        <v>5537.15</v>
      </c>
      <c r="M51" s="259">
        <v>26.04</v>
      </c>
    </row>
    <row r="52" spans="1:16" ht="19.5" customHeight="1" outlineLevel="1">
      <c r="A52" s="21"/>
      <c r="B52" s="135" t="s">
        <v>302</v>
      </c>
      <c r="C52" s="119">
        <v>92917</v>
      </c>
      <c r="D52" s="116" t="s">
        <v>203</v>
      </c>
      <c r="E52" s="115" t="s">
        <v>190</v>
      </c>
      <c r="F52" s="119" t="s">
        <v>30</v>
      </c>
      <c r="G52" s="153">
        <f>'MEMÓRIA DE CÁLCULO'!C181</f>
        <v>189.65845999999999</v>
      </c>
      <c r="H52" s="213">
        <v>13.19</v>
      </c>
      <c r="I52" s="212">
        <f t="shared" si="8"/>
        <v>16.989999999999998</v>
      </c>
      <c r="J52" s="212">
        <f t="shared" si="9"/>
        <v>3222.29</v>
      </c>
      <c r="M52" s="259">
        <v>7.05</v>
      </c>
    </row>
    <row r="53" spans="1:16" ht="19.5" customHeight="1" outlineLevel="1">
      <c r="A53" s="21"/>
      <c r="B53" s="135" t="s">
        <v>303</v>
      </c>
      <c r="C53" s="119">
        <v>92915</v>
      </c>
      <c r="D53" s="116" t="s">
        <v>203</v>
      </c>
      <c r="E53" s="115" t="s">
        <v>189</v>
      </c>
      <c r="F53" s="119" t="s">
        <v>30</v>
      </c>
      <c r="G53" s="153">
        <f>'MEMÓRIA DE CÁLCULO'!C188</f>
        <v>161.16100000000003</v>
      </c>
      <c r="H53" s="213">
        <v>14.43</v>
      </c>
      <c r="I53" s="212">
        <f t="shared" si="8"/>
        <v>18.579999999999998</v>
      </c>
      <c r="J53" s="212">
        <f t="shared" si="9"/>
        <v>2994.37</v>
      </c>
      <c r="M53" s="259">
        <v>7.9399999999999995</v>
      </c>
    </row>
    <row r="54" spans="1:16" ht="19.5" customHeight="1" outlineLevel="1">
      <c r="A54" s="21"/>
      <c r="B54" s="135" t="s">
        <v>304</v>
      </c>
      <c r="C54" s="119">
        <v>96546</v>
      </c>
      <c r="D54" s="116" t="s">
        <v>203</v>
      </c>
      <c r="E54" s="170" t="s">
        <v>281</v>
      </c>
      <c r="F54" s="135" t="s">
        <v>280</v>
      </c>
      <c r="G54" s="153">
        <f>'MEMÓRIA DE CÁLCULO'!C195</f>
        <v>29.6251316</v>
      </c>
      <c r="H54" s="213">
        <v>12.35</v>
      </c>
      <c r="I54" s="212">
        <f t="shared" si="8"/>
        <v>15.9</v>
      </c>
      <c r="J54" s="212">
        <f t="shared" si="9"/>
        <v>471.03</v>
      </c>
      <c r="M54" s="259">
        <v>6.14</v>
      </c>
    </row>
    <row r="55" spans="1:16" ht="27.6" customHeight="1" outlineLevel="1">
      <c r="A55" s="21"/>
      <c r="B55" s="135" t="s">
        <v>305</v>
      </c>
      <c r="C55" s="209">
        <v>96555</v>
      </c>
      <c r="D55" s="116" t="s">
        <v>203</v>
      </c>
      <c r="E55" s="207" t="s">
        <v>1091</v>
      </c>
      <c r="F55" s="119" t="s">
        <v>26</v>
      </c>
      <c r="G55" s="153">
        <f>'MEMÓRIA DE CÁLCULO'!C201</f>
        <v>8.3504000000000005</v>
      </c>
      <c r="H55" s="213">
        <v>490.05</v>
      </c>
      <c r="I55" s="212">
        <f t="shared" si="8"/>
        <v>631.28</v>
      </c>
      <c r="J55" s="212">
        <f t="shared" si="9"/>
        <v>5271.44</v>
      </c>
      <c r="M55" s="259">
        <v>266.75</v>
      </c>
    </row>
    <row r="56" spans="1:16" s="210" customFormat="1" ht="25.2" customHeight="1" outlineLevel="1">
      <c r="A56" s="204"/>
      <c r="B56" s="211" t="s">
        <v>345</v>
      </c>
      <c r="C56" s="209">
        <v>92873</v>
      </c>
      <c r="D56" s="208" t="s">
        <v>203</v>
      </c>
      <c r="E56" s="207" t="s">
        <v>285</v>
      </c>
      <c r="F56" s="209" t="s">
        <v>26</v>
      </c>
      <c r="G56" s="212">
        <f>G55</f>
        <v>8.3504000000000005</v>
      </c>
      <c r="H56" s="213">
        <v>148.62</v>
      </c>
      <c r="I56" s="212">
        <f t="shared" si="8"/>
        <v>191.45</v>
      </c>
      <c r="J56" s="212">
        <f t="shared" si="9"/>
        <v>1598.68</v>
      </c>
      <c r="M56" s="259">
        <v>102.52000000000001</v>
      </c>
      <c r="N56" s="259"/>
      <c r="O56" s="259"/>
      <c r="P56" s="259"/>
    </row>
    <row r="57" spans="1:16" ht="29.4" customHeight="1" outlineLevel="1" collapsed="1">
      <c r="A57" s="21"/>
      <c r="B57" s="135"/>
      <c r="C57" s="119"/>
      <c r="D57" s="116"/>
      <c r="E57" s="115"/>
      <c r="F57" s="119"/>
      <c r="G57" s="153"/>
      <c r="H57" s="143" t="s">
        <v>61</v>
      </c>
      <c r="I57" s="153"/>
      <c r="J57" s="155">
        <f>SUM(J40:J56)</f>
        <v>41198.350000000006</v>
      </c>
      <c r="M57" s="259" t="s">
        <v>61</v>
      </c>
    </row>
    <row r="58" spans="1:16" ht="20.100000000000001" customHeight="1">
      <c r="A58" s="21"/>
      <c r="B58" s="21"/>
      <c r="C58" s="21"/>
      <c r="D58" s="21"/>
      <c r="E58" s="3"/>
      <c r="F58" s="21"/>
      <c r="G58" s="15"/>
      <c r="H58" s="156"/>
      <c r="I58" s="21"/>
      <c r="J58" s="157"/>
    </row>
    <row r="59" spans="1:16" ht="20.100000000000001" customHeight="1">
      <c r="A59" s="21"/>
      <c r="B59" s="125">
        <v>5</v>
      </c>
      <c r="C59" s="125"/>
      <c r="D59" s="125"/>
      <c r="E59" s="187" t="s">
        <v>106</v>
      </c>
      <c r="F59" s="120"/>
      <c r="G59" s="151"/>
      <c r="H59" s="158"/>
      <c r="I59" s="125"/>
      <c r="J59" s="152">
        <f>J77</f>
        <v>40440.93</v>
      </c>
    </row>
    <row r="60" spans="1:16" ht="20.100000000000001" customHeight="1" outlineLevel="1">
      <c r="A60" s="21"/>
      <c r="B60" s="124" t="s">
        <v>29</v>
      </c>
      <c r="C60" s="124"/>
      <c r="D60" s="124"/>
      <c r="E60" s="127" t="s">
        <v>51</v>
      </c>
      <c r="F60" s="126"/>
      <c r="G60" s="153"/>
      <c r="H60" s="159"/>
      <c r="I60" s="153">
        <v>0</v>
      </c>
      <c r="J60" s="153"/>
    </row>
    <row r="61" spans="1:16" ht="25.5" customHeight="1" outlineLevel="1">
      <c r="A61" s="21"/>
      <c r="B61" s="119" t="s">
        <v>80</v>
      </c>
      <c r="C61" s="209">
        <v>92419</v>
      </c>
      <c r="D61" s="119" t="s">
        <v>203</v>
      </c>
      <c r="E61" s="115" t="s">
        <v>316</v>
      </c>
      <c r="F61" s="119" t="s">
        <v>28</v>
      </c>
      <c r="G61" s="153">
        <f>'MEMÓRIA DE CÁLCULO'!C211</f>
        <v>61.599999999999994</v>
      </c>
      <c r="H61" s="213">
        <v>56.45</v>
      </c>
      <c r="I61" s="212">
        <f t="shared" ref="I61:I76" si="10">TRUNC(H61*$J$9+H61,2)</f>
        <v>72.709999999999994</v>
      </c>
      <c r="J61" s="212">
        <f t="shared" ref="J61:J65" si="11">TRUNC(I61*G61,2)</f>
        <v>4478.93</v>
      </c>
      <c r="L61" s="130">
        <v>35.26</v>
      </c>
      <c r="M61" s="259">
        <v>26.04</v>
      </c>
    </row>
    <row r="62" spans="1:16" ht="19.5" customHeight="1" outlineLevel="1">
      <c r="A62" s="21"/>
      <c r="B62" s="119" t="s">
        <v>81</v>
      </c>
      <c r="C62" s="209">
        <v>92762</v>
      </c>
      <c r="D62" s="116" t="s">
        <v>203</v>
      </c>
      <c r="E62" s="115" t="s">
        <v>191</v>
      </c>
      <c r="F62" s="119" t="s">
        <v>30</v>
      </c>
      <c r="G62" s="153">
        <f>'MEMÓRIA DE CÁLCULO'!C219</f>
        <v>224.78543999999994</v>
      </c>
      <c r="H62" s="213">
        <v>11.44</v>
      </c>
      <c r="I62" s="212">
        <f t="shared" si="10"/>
        <v>14.73</v>
      </c>
      <c r="J62" s="212">
        <f t="shared" si="11"/>
        <v>3311.08</v>
      </c>
      <c r="L62" s="130">
        <v>7.73</v>
      </c>
      <c r="M62" s="259">
        <v>5.7899999999999991</v>
      </c>
    </row>
    <row r="63" spans="1:16" ht="19.5" customHeight="1" outlineLevel="1">
      <c r="A63" s="21"/>
      <c r="B63" s="119" t="s">
        <v>306</v>
      </c>
      <c r="C63" s="209">
        <v>92759</v>
      </c>
      <c r="D63" s="116" t="s">
        <v>203</v>
      </c>
      <c r="E63" s="115" t="s">
        <v>189</v>
      </c>
      <c r="F63" s="119" t="s">
        <v>30</v>
      </c>
      <c r="G63" s="153">
        <f>'MEMÓRIA DE CÁLCULO'!C227</f>
        <v>81.430579999999992</v>
      </c>
      <c r="H63" s="213">
        <v>13.43</v>
      </c>
      <c r="I63" s="212">
        <f t="shared" si="10"/>
        <v>17.3</v>
      </c>
      <c r="J63" s="212">
        <f t="shared" si="11"/>
        <v>1408.74</v>
      </c>
      <c r="L63" s="130">
        <v>10.93</v>
      </c>
      <c r="M63" s="259">
        <v>7.9399999999999995</v>
      </c>
    </row>
    <row r="64" spans="1:16" ht="20.100000000000001" customHeight="1" outlineLevel="1">
      <c r="A64" s="21"/>
      <c r="B64" s="119" t="s">
        <v>307</v>
      </c>
      <c r="C64" s="209">
        <v>92718</v>
      </c>
      <c r="D64" s="116" t="s">
        <v>203</v>
      </c>
      <c r="E64" s="115" t="s">
        <v>284</v>
      </c>
      <c r="F64" s="119" t="s">
        <v>26</v>
      </c>
      <c r="G64" s="153">
        <f>'MEMÓRIA DE CÁLCULO'!C234</f>
        <v>3.6959999999999993</v>
      </c>
      <c r="H64" s="213">
        <v>517.19000000000005</v>
      </c>
      <c r="I64" s="212">
        <f t="shared" si="10"/>
        <v>666.24</v>
      </c>
      <c r="J64" s="212">
        <f t="shared" si="11"/>
        <v>2462.42</v>
      </c>
      <c r="L64" s="130">
        <v>343.86</v>
      </c>
      <c r="M64" s="259">
        <v>266.75</v>
      </c>
    </row>
    <row r="65" spans="1:16" ht="26.4" outlineLevel="1">
      <c r="A65" s="21"/>
      <c r="B65" s="209" t="s">
        <v>346</v>
      </c>
      <c r="C65" s="119">
        <v>92873</v>
      </c>
      <c r="D65" s="116" t="s">
        <v>203</v>
      </c>
      <c r="E65" s="115" t="s">
        <v>285</v>
      </c>
      <c r="F65" s="119" t="s">
        <v>26</v>
      </c>
      <c r="G65" s="153">
        <f>G64</f>
        <v>3.6959999999999993</v>
      </c>
      <c r="H65" s="213">
        <v>148.62</v>
      </c>
      <c r="I65" s="212">
        <f t="shared" si="10"/>
        <v>191.45</v>
      </c>
      <c r="J65" s="212">
        <f t="shared" si="11"/>
        <v>707.59</v>
      </c>
      <c r="M65" s="259">
        <v>102.52000000000001</v>
      </c>
    </row>
    <row r="66" spans="1:16" ht="20.100000000000001" customHeight="1" outlineLevel="1">
      <c r="A66" s="21"/>
      <c r="B66" s="124" t="s">
        <v>308</v>
      </c>
      <c r="C66" s="124"/>
      <c r="D66" s="124"/>
      <c r="E66" s="127" t="s">
        <v>52</v>
      </c>
      <c r="F66" s="126"/>
      <c r="G66" s="153"/>
      <c r="H66" s="154"/>
      <c r="I66" s="212">
        <f t="shared" si="10"/>
        <v>0</v>
      </c>
      <c r="J66" s="153"/>
    </row>
    <row r="67" spans="1:16" ht="25.5" customHeight="1" outlineLevel="1">
      <c r="A67" s="21"/>
      <c r="B67" s="119" t="s">
        <v>309</v>
      </c>
      <c r="C67" s="209">
        <v>92448</v>
      </c>
      <c r="D67" s="119" t="s">
        <v>203</v>
      </c>
      <c r="E67" s="115" t="s">
        <v>316</v>
      </c>
      <c r="F67" s="119" t="s">
        <v>28</v>
      </c>
      <c r="G67" s="153">
        <f>'MEMÓRIA DE CÁLCULO'!C243</f>
        <v>104.38</v>
      </c>
      <c r="H67" s="154">
        <v>104.04</v>
      </c>
      <c r="I67" s="212">
        <f t="shared" si="10"/>
        <v>134.02000000000001</v>
      </c>
      <c r="J67" s="212">
        <f t="shared" ref="J67:J72" si="12">TRUNC(I67*G67,2)</f>
        <v>13989</v>
      </c>
      <c r="L67" s="130">
        <v>50.14</v>
      </c>
      <c r="M67" s="259">
        <v>26.04</v>
      </c>
    </row>
    <row r="68" spans="1:16" ht="20.25" customHeight="1" outlineLevel="1">
      <c r="A68" s="21"/>
      <c r="B68" s="119" t="s">
        <v>310</v>
      </c>
      <c r="C68" s="209">
        <v>92776</v>
      </c>
      <c r="D68" s="116" t="s">
        <v>203</v>
      </c>
      <c r="E68" s="115" t="s">
        <v>192</v>
      </c>
      <c r="F68" s="119" t="s">
        <v>30</v>
      </c>
      <c r="G68" s="153">
        <f>'MEMÓRIA DE CÁLCULO'!C249</f>
        <v>56.260820000000002</v>
      </c>
      <c r="H68" s="213">
        <v>14.64</v>
      </c>
      <c r="I68" s="212">
        <f t="shared" si="10"/>
        <v>18.850000000000001</v>
      </c>
      <c r="J68" s="212">
        <f t="shared" si="12"/>
        <v>1060.51</v>
      </c>
      <c r="L68" s="130">
        <v>9.99</v>
      </c>
      <c r="M68" s="259">
        <v>7.1</v>
      </c>
    </row>
    <row r="69" spans="1:16" ht="19.5" customHeight="1" outlineLevel="1">
      <c r="A69" s="21"/>
      <c r="B69" s="119" t="s">
        <v>311</v>
      </c>
      <c r="C69" s="209">
        <v>92777</v>
      </c>
      <c r="D69" s="116" t="s">
        <v>203</v>
      </c>
      <c r="E69" s="115" t="s">
        <v>190</v>
      </c>
      <c r="F69" s="119" t="s">
        <v>30</v>
      </c>
      <c r="G69" s="153">
        <f>'MEMÓRIA DE CÁLCULO'!C255</f>
        <v>90.706220000000002</v>
      </c>
      <c r="H69" s="213">
        <v>13.76</v>
      </c>
      <c r="I69" s="212">
        <f t="shared" si="10"/>
        <v>17.72</v>
      </c>
      <c r="J69" s="212">
        <f t="shared" si="12"/>
        <v>1607.31</v>
      </c>
      <c r="L69" s="130">
        <v>9.5299999999999994</v>
      </c>
      <c r="M69" s="259">
        <v>7.05</v>
      </c>
    </row>
    <row r="70" spans="1:16" ht="19.5" customHeight="1" outlineLevel="1">
      <c r="A70" s="21"/>
      <c r="B70" s="119" t="s">
        <v>312</v>
      </c>
      <c r="C70" s="209">
        <v>92775</v>
      </c>
      <c r="D70" s="116" t="s">
        <v>203</v>
      </c>
      <c r="E70" s="115" t="s">
        <v>189</v>
      </c>
      <c r="F70" s="119" t="s">
        <v>30</v>
      </c>
      <c r="G70" s="153">
        <f>'MEMÓRIA DE CÁLCULO'!C264</f>
        <v>153.27312000000006</v>
      </c>
      <c r="H70" s="154">
        <v>15.44</v>
      </c>
      <c r="I70" s="212">
        <f t="shared" si="10"/>
        <v>19.88</v>
      </c>
      <c r="J70" s="212">
        <f t="shared" si="12"/>
        <v>3047.06</v>
      </c>
      <c r="L70" s="130">
        <v>10.93</v>
      </c>
      <c r="M70" s="259">
        <v>7.9399999999999995</v>
      </c>
    </row>
    <row r="71" spans="1:16" ht="20.100000000000001" customHeight="1" outlineLevel="1">
      <c r="A71" s="21"/>
      <c r="B71" s="119" t="s">
        <v>313</v>
      </c>
      <c r="C71" s="119">
        <v>92720</v>
      </c>
      <c r="D71" s="116" t="s">
        <v>203</v>
      </c>
      <c r="E71" s="115" t="s">
        <v>145</v>
      </c>
      <c r="F71" s="119" t="s">
        <v>26</v>
      </c>
      <c r="G71" s="153">
        <f>'MEMÓRIA DE CÁLCULO'!C270</f>
        <v>8.3504000000000005</v>
      </c>
      <c r="H71" s="213">
        <v>423.93</v>
      </c>
      <c r="I71" s="212">
        <f t="shared" si="10"/>
        <v>546.1</v>
      </c>
      <c r="J71" s="212">
        <f t="shared" si="12"/>
        <v>4560.1499999999996</v>
      </c>
      <c r="L71" s="130">
        <v>343.86</v>
      </c>
      <c r="M71" s="259">
        <v>266.75</v>
      </c>
    </row>
    <row r="72" spans="1:16" ht="30.6" customHeight="1" outlineLevel="1">
      <c r="A72" s="21"/>
      <c r="B72" s="119" t="s">
        <v>317</v>
      </c>
      <c r="C72" s="119">
        <v>92873</v>
      </c>
      <c r="D72" s="116" t="s">
        <v>203</v>
      </c>
      <c r="E72" s="115" t="s">
        <v>285</v>
      </c>
      <c r="F72" s="119" t="s">
        <v>26</v>
      </c>
      <c r="G72" s="153">
        <f>G71</f>
        <v>8.3504000000000005</v>
      </c>
      <c r="H72" s="213">
        <v>148.62</v>
      </c>
      <c r="I72" s="212">
        <f t="shared" si="10"/>
        <v>191.45</v>
      </c>
      <c r="J72" s="212">
        <f t="shared" si="12"/>
        <v>1598.68</v>
      </c>
      <c r="M72" s="259">
        <v>102.52000000000001</v>
      </c>
    </row>
    <row r="73" spans="1:16" ht="20.100000000000001" customHeight="1" outlineLevel="1">
      <c r="A73" s="21"/>
      <c r="B73" s="124" t="s">
        <v>314</v>
      </c>
      <c r="C73" s="124"/>
      <c r="D73" s="124"/>
      <c r="E73" s="127" t="s">
        <v>126</v>
      </c>
      <c r="F73" s="126"/>
      <c r="G73" s="153"/>
      <c r="H73" s="154"/>
      <c r="I73" s="212">
        <f t="shared" si="10"/>
        <v>0</v>
      </c>
      <c r="J73" s="153"/>
    </row>
    <row r="74" spans="1:16" s="210" customFormat="1" ht="20.100000000000001" customHeight="1" outlineLevel="1">
      <c r="A74" s="204"/>
      <c r="B74" s="209" t="s">
        <v>315</v>
      </c>
      <c r="C74" s="209">
        <v>93184</v>
      </c>
      <c r="D74" s="209" t="s">
        <v>203</v>
      </c>
      <c r="E74" s="207" t="s">
        <v>1111</v>
      </c>
      <c r="F74" s="209" t="s">
        <v>32</v>
      </c>
      <c r="G74" s="212">
        <f>'MEMÓRIA DE CÁLCULO'!G277</f>
        <v>11.000000000000002</v>
      </c>
      <c r="H74" s="213">
        <v>25.58</v>
      </c>
      <c r="I74" s="212">
        <f t="shared" si="10"/>
        <v>32.950000000000003</v>
      </c>
      <c r="J74" s="212">
        <f t="shared" ref="J74:J76" si="13">TRUNC(I74*G74,2)</f>
        <v>362.45</v>
      </c>
      <c r="M74" s="259"/>
      <c r="N74" s="259"/>
      <c r="O74" s="259"/>
      <c r="P74" s="259"/>
    </row>
    <row r="75" spans="1:16" s="210" customFormat="1" ht="20.100000000000001" customHeight="1" outlineLevel="1">
      <c r="A75" s="204"/>
      <c r="B75" s="209" t="s">
        <v>1110</v>
      </c>
      <c r="C75" s="106">
        <v>93182</v>
      </c>
      <c r="D75" s="209" t="s">
        <v>203</v>
      </c>
      <c r="E75" s="207" t="s">
        <v>1113</v>
      </c>
      <c r="F75" s="209" t="s">
        <v>32</v>
      </c>
      <c r="G75" s="212">
        <f>'MEMÓRIA DE CÁLCULO'!E279</f>
        <v>7.2</v>
      </c>
      <c r="H75" s="213">
        <v>34.61</v>
      </c>
      <c r="I75" s="212">
        <f t="shared" ref="I75" si="14">TRUNC(H75*$J$9+H75,2)</f>
        <v>44.58</v>
      </c>
      <c r="J75" s="212">
        <f t="shared" ref="J75" si="15">TRUNC(I75*G75,2)</f>
        <v>320.97000000000003</v>
      </c>
      <c r="M75" s="259"/>
      <c r="N75" s="259"/>
      <c r="O75" s="259"/>
      <c r="P75" s="259"/>
    </row>
    <row r="76" spans="1:16" ht="19.5" customHeight="1" outlineLevel="1">
      <c r="A76" s="21"/>
      <c r="B76" s="119" t="s">
        <v>1112</v>
      </c>
      <c r="C76" s="106">
        <v>93183</v>
      </c>
      <c r="D76" s="119" t="s">
        <v>203</v>
      </c>
      <c r="E76" s="115" t="s">
        <v>1114</v>
      </c>
      <c r="F76" s="119" t="s">
        <v>32</v>
      </c>
      <c r="G76" s="153">
        <f>'MEMÓRIA DE CÁLCULO'!E278</f>
        <v>26.599999999999998</v>
      </c>
      <c r="H76" s="154">
        <v>44.54</v>
      </c>
      <c r="I76" s="212">
        <f t="shared" si="10"/>
        <v>57.37</v>
      </c>
      <c r="J76" s="212">
        <f t="shared" si="13"/>
        <v>1526.04</v>
      </c>
      <c r="L76" s="130">
        <v>26.53</v>
      </c>
      <c r="M76" s="259">
        <v>20.11</v>
      </c>
    </row>
    <row r="77" spans="1:16" ht="20.100000000000001" customHeight="1" outlineLevel="1">
      <c r="A77" s="21"/>
      <c r="B77" s="127"/>
      <c r="C77" s="127"/>
      <c r="D77" s="127"/>
      <c r="E77" s="127"/>
      <c r="F77" s="127"/>
      <c r="G77" s="11"/>
      <c r="H77" s="143" t="s">
        <v>61</v>
      </c>
      <c r="I77" s="153"/>
      <c r="J77" s="155">
        <f>SUM(J60:J76)</f>
        <v>40440.93</v>
      </c>
      <c r="L77" s="130" t="s">
        <v>61</v>
      </c>
      <c r="M77" s="259" t="s">
        <v>61</v>
      </c>
    </row>
    <row r="78" spans="1:16" ht="20.100000000000001" customHeight="1">
      <c r="A78" s="21"/>
      <c r="B78" s="21"/>
      <c r="C78" s="21"/>
      <c r="D78" s="21"/>
      <c r="E78" s="3"/>
      <c r="F78" s="21"/>
      <c r="G78" s="15"/>
      <c r="H78" s="160"/>
      <c r="I78" s="21"/>
      <c r="J78" s="157"/>
    </row>
    <row r="79" spans="1:16" ht="20.100000000000001" customHeight="1">
      <c r="A79" s="21"/>
      <c r="B79" s="125">
        <v>5</v>
      </c>
      <c r="C79" s="125"/>
      <c r="D79" s="125"/>
      <c r="E79" s="187" t="s">
        <v>153</v>
      </c>
      <c r="F79" s="120"/>
      <c r="G79" s="151"/>
      <c r="H79" s="161"/>
      <c r="I79" s="125"/>
      <c r="J79" s="152">
        <f>J83</f>
        <v>31508.23</v>
      </c>
    </row>
    <row r="80" spans="1:16" ht="20.100000000000001" customHeight="1" outlineLevel="1">
      <c r="A80" s="21"/>
      <c r="B80" s="124" t="s">
        <v>29</v>
      </c>
      <c r="C80" s="11"/>
      <c r="D80" s="11"/>
      <c r="E80" s="117" t="s">
        <v>44</v>
      </c>
      <c r="F80" s="116"/>
      <c r="G80" s="153"/>
      <c r="H80" s="154"/>
      <c r="I80" s="153">
        <v>0</v>
      </c>
      <c r="J80" s="153"/>
    </row>
    <row r="81" spans="1:16" ht="30" customHeight="1" outlineLevel="1">
      <c r="A81" s="21"/>
      <c r="B81" s="116" t="s">
        <v>80</v>
      </c>
      <c r="C81" s="208">
        <v>89168</v>
      </c>
      <c r="D81" s="116" t="s">
        <v>203</v>
      </c>
      <c r="E81" s="115" t="s">
        <v>193</v>
      </c>
      <c r="F81" s="116" t="s">
        <v>28</v>
      </c>
      <c r="G81" s="153">
        <f>'MEMÓRIA DE CÁLCULO'!C292</f>
        <v>303.01499999999999</v>
      </c>
      <c r="H81" s="263">
        <v>73.819999999999993</v>
      </c>
      <c r="I81" s="212">
        <f t="shared" ref="I81:I82" si="16">TRUNC(H81*$J$9+H81,2)</f>
        <v>95.09</v>
      </c>
      <c r="J81" s="212">
        <f t="shared" ref="J81:J82" si="17">TRUNC(I81*G81,2)</f>
        <v>28813.69</v>
      </c>
      <c r="L81" s="130">
        <v>33.200000000000003</v>
      </c>
      <c r="M81" s="259">
        <v>25.33</v>
      </c>
    </row>
    <row r="82" spans="1:16" ht="30" customHeight="1" outlineLevel="1">
      <c r="A82" s="21"/>
      <c r="B82" s="116" t="s">
        <v>81</v>
      </c>
      <c r="C82" s="107">
        <v>93202</v>
      </c>
      <c r="D82" s="116" t="s">
        <v>203</v>
      </c>
      <c r="E82" s="115" t="s">
        <v>144</v>
      </c>
      <c r="F82" s="116" t="s">
        <v>32</v>
      </c>
      <c r="G82" s="153">
        <f>'MEMÓRIA DE CÁLCULO'!C283</f>
        <v>94.38</v>
      </c>
      <c r="H82" s="213">
        <v>22.17</v>
      </c>
      <c r="I82" s="212">
        <f t="shared" si="16"/>
        <v>28.55</v>
      </c>
      <c r="J82" s="212">
        <f t="shared" si="17"/>
        <v>2694.54</v>
      </c>
      <c r="L82" s="130">
        <v>15.53</v>
      </c>
      <c r="M82" s="259">
        <v>11.870000000000001</v>
      </c>
    </row>
    <row r="83" spans="1:16" ht="20.100000000000001" customHeight="1" outlineLevel="1">
      <c r="A83" s="21"/>
      <c r="B83" s="127"/>
      <c r="C83" s="127"/>
      <c r="D83" s="127"/>
      <c r="E83" s="127"/>
      <c r="F83" s="127"/>
      <c r="G83" s="11"/>
      <c r="H83" s="143" t="s">
        <v>61</v>
      </c>
      <c r="I83" s="153"/>
      <c r="J83" s="155">
        <f>SUM(J80:J82)</f>
        <v>31508.23</v>
      </c>
      <c r="L83" s="130" t="s">
        <v>61</v>
      </c>
      <c r="M83" s="259" t="s">
        <v>61</v>
      </c>
    </row>
    <row r="84" spans="1:16" ht="20.100000000000001" customHeight="1">
      <c r="A84" s="21"/>
      <c r="B84" s="21"/>
      <c r="C84" s="21"/>
      <c r="D84" s="21"/>
      <c r="E84" s="3"/>
      <c r="F84" s="21"/>
      <c r="G84" s="15"/>
      <c r="H84" s="160"/>
      <c r="I84" s="21"/>
      <c r="J84" s="157"/>
    </row>
    <row r="85" spans="1:16" ht="20.100000000000001" customHeight="1">
      <c r="A85" s="21"/>
      <c r="B85" s="125">
        <v>6</v>
      </c>
      <c r="C85" s="125"/>
      <c r="D85" s="125"/>
      <c r="E85" s="187" t="s">
        <v>107</v>
      </c>
      <c r="F85" s="120"/>
      <c r="G85" s="151"/>
      <c r="H85" s="161"/>
      <c r="I85" s="125"/>
      <c r="J85" s="152">
        <f>J95</f>
        <v>15595.720000000001</v>
      </c>
    </row>
    <row r="86" spans="1:16" ht="20.100000000000001" customHeight="1" outlineLevel="1">
      <c r="A86" s="21"/>
      <c r="B86" s="124" t="s">
        <v>31</v>
      </c>
      <c r="C86" s="124"/>
      <c r="D86" s="124"/>
      <c r="E86" s="127" t="s">
        <v>53</v>
      </c>
      <c r="F86" s="127"/>
      <c r="G86" s="153"/>
      <c r="H86" s="154"/>
      <c r="I86" s="153">
        <v>0</v>
      </c>
      <c r="J86" s="153"/>
    </row>
    <row r="87" spans="1:16" ht="26.4" outlineLevel="1">
      <c r="A87" s="21"/>
      <c r="B87" s="116" t="s">
        <v>82</v>
      </c>
      <c r="C87" s="116">
        <v>90843</v>
      </c>
      <c r="D87" s="116" t="s">
        <v>203</v>
      </c>
      <c r="E87" s="115" t="s">
        <v>147</v>
      </c>
      <c r="F87" s="119" t="s">
        <v>23</v>
      </c>
      <c r="G87" s="153">
        <f>'MEMÓRIA DE CÁLCULO'!B298</f>
        <v>7</v>
      </c>
      <c r="H87" s="213">
        <v>627.82000000000005</v>
      </c>
      <c r="I87" s="212">
        <f t="shared" ref="I87:I94" si="18">TRUNC(H87*$J$9+H87,2)</f>
        <v>808.75</v>
      </c>
      <c r="J87" s="212">
        <f t="shared" ref="J87:J88" si="19">TRUNC(I87*G87,2)</f>
        <v>5661.25</v>
      </c>
      <c r="L87" s="130">
        <v>628.97</v>
      </c>
      <c r="M87" s="259">
        <v>484.46999999999997</v>
      </c>
    </row>
    <row r="88" spans="1:16" ht="26.4" outlineLevel="1">
      <c r="A88" s="21"/>
      <c r="B88" s="116" t="s">
        <v>83</v>
      </c>
      <c r="C88" s="116">
        <v>90844</v>
      </c>
      <c r="D88" s="116" t="s">
        <v>203</v>
      </c>
      <c r="E88" s="115" t="s">
        <v>206</v>
      </c>
      <c r="F88" s="119" t="s">
        <v>23</v>
      </c>
      <c r="G88" s="153">
        <f>'MEMÓRIA DE CÁLCULO'!B301</f>
        <v>2</v>
      </c>
      <c r="H88" s="213">
        <v>680.77</v>
      </c>
      <c r="I88" s="212">
        <f t="shared" si="18"/>
        <v>876.96</v>
      </c>
      <c r="J88" s="212">
        <f t="shared" si="19"/>
        <v>1753.92</v>
      </c>
      <c r="L88" s="130">
        <v>654.9</v>
      </c>
      <c r="M88" s="259">
        <v>505.29999999999995</v>
      </c>
    </row>
    <row r="89" spans="1:16" ht="20.100000000000001" customHeight="1" outlineLevel="1">
      <c r="A89" s="21"/>
      <c r="B89" s="124" t="s">
        <v>45</v>
      </c>
      <c r="C89" s="116"/>
      <c r="D89" s="116"/>
      <c r="E89" s="117" t="s">
        <v>58</v>
      </c>
      <c r="F89" s="116"/>
      <c r="G89" s="153"/>
      <c r="H89" s="154"/>
      <c r="I89" s="212">
        <f t="shared" si="18"/>
        <v>0</v>
      </c>
      <c r="J89" s="153"/>
    </row>
    <row r="90" spans="1:16" s="134" customFormat="1" ht="19.5" customHeight="1" outlineLevel="1">
      <c r="A90" s="131"/>
      <c r="B90" s="132" t="s">
        <v>84</v>
      </c>
      <c r="C90" s="132">
        <v>36209</v>
      </c>
      <c r="D90" s="116" t="s">
        <v>203</v>
      </c>
      <c r="E90" s="137" t="s">
        <v>162</v>
      </c>
      <c r="F90" s="135" t="s">
        <v>23</v>
      </c>
      <c r="G90" s="154">
        <v>4</v>
      </c>
      <c r="H90" s="213">
        <v>399.36</v>
      </c>
      <c r="I90" s="212">
        <f t="shared" si="18"/>
        <v>514.45000000000005</v>
      </c>
      <c r="J90" s="212">
        <f t="shared" ref="J90" si="20">TRUNC(I90*G90,2)</f>
        <v>2057.8000000000002</v>
      </c>
      <c r="L90" s="134">
        <v>253.26</v>
      </c>
      <c r="M90" s="260">
        <v>183</v>
      </c>
      <c r="N90" s="260"/>
      <c r="O90" s="260"/>
      <c r="P90" s="260"/>
    </row>
    <row r="91" spans="1:16" ht="20.100000000000001" customHeight="1" outlineLevel="1">
      <c r="A91" s="21"/>
      <c r="B91" s="124" t="s">
        <v>54</v>
      </c>
      <c r="C91" s="116"/>
      <c r="D91" s="116"/>
      <c r="E91" s="117" t="s">
        <v>1122</v>
      </c>
      <c r="F91" s="116"/>
      <c r="G91" s="153"/>
      <c r="H91" s="154"/>
      <c r="I91" s="212">
        <f t="shared" si="18"/>
        <v>0</v>
      </c>
      <c r="J91" s="153"/>
    </row>
    <row r="92" spans="1:16" s="134" customFormat="1" ht="19.5" customHeight="1" outlineLevel="1">
      <c r="A92" s="131"/>
      <c r="B92" s="139" t="s">
        <v>85</v>
      </c>
      <c r="C92" s="132">
        <v>102181</v>
      </c>
      <c r="D92" s="116" t="s">
        <v>203</v>
      </c>
      <c r="E92" s="333" t="s">
        <v>1123</v>
      </c>
      <c r="F92" s="132" t="s">
        <v>28</v>
      </c>
      <c r="G92" s="154">
        <f>'MEMÓRIA DE CÁLCULO'!B314</f>
        <v>11.5</v>
      </c>
      <c r="H92" s="154">
        <v>390.33</v>
      </c>
      <c r="I92" s="212">
        <f t="shared" si="18"/>
        <v>502.82</v>
      </c>
      <c r="J92" s="212">
        <f t="shared" ref="J92" si="21">TRUNC(I92*G92,2)</f>
        <v>5782.43</v>
      </c>
      <c r="L92" s="134">
        <v>227.51</v>
      </c>
      <c r="M92" s="260">
        <v>168.85</v>
      </c>
      <c r="N92" s="260"/>
      <c r="O92" s="260"/>
      <c r="P92" s="260"/>
    </row>
    <row r="93" spans="1:16" ht="20.100000000000001" customHeight="1" outlineLevel="1">
      <c r="A93" s="21"/>
      <c r="B93" s="124" t="s">
        <v>55</v>
      </c>
      <c r="C93" s="11"/>
      <c r="D93" s="11"/>
      <c r="E93" s="117" t="s">
        <v>8</v>
      </c>
      <c r="F93" s="116"/>
      <c r="G93" s="153"/>
      <c r="H93" s="154"/>
      <c r="I93" s="212">
        <f t="shared" si="18"/>
        <v>0</v>
      </c>
      <c r="J93" s="153"/>
    </row>
    <row r="94" spans="1:16" ht="20.100000000000001" customHeight="1" outlineLevel="1">
      <c r="A94" s="21"/>
      <c r="B94" s="144" t="s">
        <v>223</v>
      </c>
      <c r="C94" s="208">
        <v>11186</v>
      </c>
      <c r="D94" s="116" t="s">
        <v>203</v>
      </c>
      <c r="E94" s="115" t="s">
        <v>168</v>
      </c>
      <c r="F94" s="116" t="s">
        <v>28</v>
      </c>
      <c r="G94" s="154">
        <f>0.6*0.6*2</f>
        <v>0.72</v>
      </c>
      <c r="H94" s="154">
        <v>366.93</v>
      </c>
      <c r="I94" s="212">
        <f t="shared" si="18"/>
        <v>472.67</v>
      </c>
      <c r="J94" s="212">
        <f t="shared" ref="J94" si="22">TRUNC(I94*G94,2)</f>
        <v>340.32</v>
      </c>
      <c r="L94" s="130">
        <v>374.68</v>
      </c>
      <c r="M94" s="259">
        <v>317.82</v>
      </c>
    </row>
    <row r="95" spans="1:16" ht="20.100000000000001" customHeight="1" outlineLevel="1">
      <c r="A95" s="21"/>
      <c r="B95" s="127"/>
      <c r="C95" s="127"/>
      <c r="D95" s="127"/>
      <c r="E95" s="127"/>
      <c r="F95" s="127"/>
      <c r="G95" s="11"/>
      <c r="H95" s="143" t="s">
        <v>61</v>
      </c>
      <c r="I95" s="153"/>
      <c r="J95" s="155">
        <f>SUM(J86:J94)</f>
        <v>15595.720000000001</v>
      </c>
      <c r="L95" s="130" t="s">
        <v>61</v>
      </c>
      <c r="M95" s="259" t="s">
        <v>61</v>
      </c>
    </row>
    <row r="96" spans="1:16" ht="20.100000000000001" customHeight="1">
      <c r="A96" s="21"/>
      <c r="B96" s="21"/>
      <c r="C96" s="21"/>
      <c r="D96" s="21"/>
      <c r="E96" s="3"/>
      <c r="F96" s="21"/>
      <c r="G96" s="15"/>
      <c r="H96" s="160"/>
      <c r="I96" s="21"/>
      <c r="J96" s="157"/>
    </row>
    <row r="97" spans="1:16" ht="20.100000000000001" customHeight="1">
      <c r="A97" s="21"/>
      <c r="B97" s="125">
        <v>7</v>
      </c>
      <c r="C97" s="125"/>
      <c r="D97" s="125"/>
      <c r="E97" s="187" t="s">
        <v>128</v>
      </c>
      <c r="F97" s="120"/>
      <c r="G97" s="151"/>
      <c r="H97" s="161"/>
      <c r="I97" s="125"/>
      <c r="J97" s="152">
        <f>J102</f>
        <v>21387.98</v>
      </c>
    </row>
    <row r="98" spans="1:16" outlineLevel="1">
      <c r="A98" s="21"/>
      <c r="B98" s="116" t="s">
        <v>34</v>
      </c>
      <c r="C98" s="205">
        <v>92600</v>
      </c>
      <c r="D98" s="44" t="s">
        <v>203</v>
      </c>
      <c r="E98" s="115" t="s">
        <v>1190</v>
      </c>
      <c r="F98" s="119" t="s">
        <v>322</v>
      </c>
      <c r="G98" s="153">
        <v>4</v>
      </c>
      <c r="H98" s="154">
        <v>2126.81</v>
      </c>
      <c r="I98" s="212">
        <f t="shared" ref="I98:I101" si="23">TRUNC(H98*$J$9+H98,2)</f>
        <v>2739.75</v>
      </c>
      <c r="J98" s="212">
        <f t="shared" ref="J98:J101" si="24">TRUNC(I98*G98,2)</f>
        <v>10959</v>
      </c>
      <c r="L98" s="130">
        <v>55.79</v>
      </c>
      <c r="M98" s="259">
        <v>733.05</v>
      </c>
    </row>
    <row r="99" spans="1:16" ht="39.6" outlineLevel="1">
      <c r="A99" s="21"/>
      <c r="B99" s="208" t="s">
        <v>225</v>
      </c>
      <c r="C99" s="205">
        <v>92543</v>
      </c>
      <c r="D99" s="44" t="s">
        <v>203</v>
      </c>
      <c r="E99" s="115" t="s">
        <v>224</v>
      </c>
      <c r="F99" s="119" t="s">
        <v>28</v>
      </c>
      <c r="G99" s="153">
        <f>'MEMÓRIA DE CÁLCULO'!C320</f>
        <v>141.78</v>
      </c>
      <c r="H99" s="154">
        <v>15.41</v>
      </c>
      <c r="I99" s="212">
        <f t="shared" si="23"/>
        <v>19.850000000000001</v>
      </c>
      <c r="J99" s="212">
        <f t="shared" si="24"/>
        <v>2814.33</v>
      </c>
      <c r="L99" s="130">
        <v>22.63</v>
      </c>
      <c r="M99" s="259">
        <v>23.859999999999996</v>
      </c>
    </row>
    <row r="100" spans="1:16" ht="20.100000000000001" customHeight="1" outlineLevel="1">
      <c r="A100" s="21"/>
      <c r="B100" s="208" t="s">
        <v>226</v>
      </c>
      <c r="C100" s="109">
        <v>94210</v>
      </c>
      <c r="D100" s="116" t="s">
        <v>203</v>
      </c>
      <c r="E100" s="115" t="s">
        <v>208</v>
      </c>
      <c r="F100" s="116" t="s">
        <v>28</v>
      </c>
      <c r="G100" s="153">
        <f>G99</f>
        <v>141.78</v>
      </c>
      <c r="H100" s="213">
        <v>37.92</v>
      </c>
      <c r="I100" s="212">
        <f t="shared" si="23"/>
        <v>48.84</v>
      </c>
      <c r="J100" s="212">
        <f t="shared" si="24"/>
        <v>6924.53</v>
      </c>
      <c r="L100" s="130">
        <v>33.049999999999997</v>
      </c>
      <c r="M100" s="259">
        <v>24.859999999999992</v>
      </c>
    </row>
    <row r="101" spans="1:16" ht="20.100000000000001" customHeight="1" outlineLevel="1">
      <c r="A101" s="21"/>
      <c r="B101" s="208" t="s">
        <v>57</v>
      </c>
      <c r="C101" s="110">
        <v>94223</v>
      </c>
      <c r="D101" s="116" t="s">
        <v>203</v>
      </c>
      <c r="E101" s="115" t="s">
        <v>209</v>
      </c>
      <c r="F101" s="116" t="s">
        <v>32</v>
      </c>
      <c r="G101" s="153">
        <v>12</v>
      </c>
      <c r="H101" s="213">
        <v>44.65</v>
      </c>
      <c r="I101" s="212">
        <f t="shared" si="23"/>
        <v>57.51</v>
      </c>
      <c r="J101" s="212">
        <f t="shared" si="24"/>
        <v>690.12</v>
      </c>
      <c r="L101" s="130">
        <v>39.01</v>
      </c>
      <c r="M101" s="259">
        <v>28.270000000000003</v>
      </c>
    </row>
    <row r="102" spans="1:16" ht="20.100000000000001" customHeight="1" outlineLevel="1">
      <c r="A102" s="21"/>
      <c r="B102" s="127"/>
      <c r="C102" s="11"/>
      <c r="D102" s="127"/>
      <c r="E102" s="127"/>
      <c r="F102" s="127"/>
      <c r="G102" s="11"/>
      <c r="H102" s="143" t="s">
        <v>61</v>
      </c>
      <c r="I102" s="153"/>
      <c r="J102" s="155">
        <f>SUM(J98:J101)</f>
        <v>21387.98</v>
      </c>
      <c r="L102" s="130" t="s">
        <v>61</v>
      </c>
      <c r="M102" s="259" t="s">
        <v>61</v>
      </c>
    </row>
    <row r="103" spans="1:16" ht="20.100000000000001" customHeight="1">
      <c r="A103" s="21"/>
      <c r="B103" s="21"/>
      <c r="C103" s="21"/>
      <c r="D103" s="21"/>
      <c r="E103" s="3"/>
      <c r="F103" s="21"/>
      <c r="G103" s="15"/>
      <c r="H103" s="160"/>
      <c r="I103" s="21"/>
      <c r="J103" s="157"/>
    </row>
    <row r="104" spans="1:16" ht="20.100000000000001" customHeight="1">
      <c r="A104" s="21"/>
      <c r="B104" s="125">
        <v>8</v>
      </c>
      <c r="C104" s="125"/>
      <c r="D104" s="125"/>
      <c r="E104" s="187" t="s">
        <v>89</v>
      </c>
      <c r="F104" s="120"/>
      <c r="G104" s="151"/>
      <c r="H104" s="161"/>
      <c r="I104" s="125"/>
      <c r="J104" s="152">
        <f>J106</f>
        <v>2737.1</v>
      </c>
    </row>
    <row r="105" spans="1:16" ht="20.100000000000001" customHeight="1" outlineLevel="1">
      <c r="A105" s="21"/>
      <c r="B105" s="116" t="s">
        <v>35</v>
      </c>
      <c r="C105" s="208">
        <v>98557</v>
      </c>
      <c r="D105" s="116" t="s">
        <v>203</v>
      </c>
      <c r="E105" s="115" t="s">
        <v>169</v>
      </c>
      <c r="F105" s="116" t="s">
        <v>28</v>
      </c>
      <c r="G105" s="153">
        <f>'MEMÓRIA DE CÁLCULO'!C340</f>
        <v>68.91</v>
      </c>
      <c r="H105" s="154">
        <v>30.84</v>
      </c>
      <c r="I105" s="212">
        <f t="shared" ref="I105" si="25">TRUNC(H105*$J$9+H105,2)</f>
        <v>39.72</v>
      </c>
      <c r="J105" s="212">
        <f t="shared" ref="J105" si="26">TRUNC(I105*G105,2)</f>
        <v>2737.1</v>
      </c>
      <c r="L105" s="130">
        <v>7.9</v>
      </c>
      <c r="M105" s="259">
        <v>6.12</v>
      </c>
    </row>
    <row r="106" spans="1:16" ht="20.100000000000001" customHeight="1" outlineLevel="1">
      <c r="A106" s="21"/>
      <c r="B106" s="127"/>
      <c r="C106" s="127"/>
      <c r="D106" s="127"/>
      <c r="E106" s="127"/>
      <c r="F106" s="127"/>
      <c r="G106" s="11"/>
      <c r="H106" s="143" t="s">
        <v>61</v>
      </c>
      <c r="I106" s="153"/>
      <c r="J106" s="155">
        <f>SUM(J105:J105)</f>
        <v>2737.1</v>
      </c>
      <c r="L106" s="130" t="s">
        <v>61</v>
      </c>
      <c r="M106" s="259" t="s">
        <v>61</v>
      </c>
    </row>
    <row r="107" spans="1:16" ht="20.100000000000001" customHeight="1">
      <c r="A107" s="21"/>
      <c r="B107" s="21"/>
      <c r="C107" s="21"/>
      <c r="D107" s="21"/>
      <c r="E107" s="3"/>
      <c r="F107" s="21"/>
      <c r="G107" s="15"/>
      <c r="H107" s="160"/>
      <c r="I107" s="21"/>
      <c r="J107" s="157"/>
    </row>
    <row r="108" spans="1:16" ht="20.100000000000001" customHeight="1">
      <c r="A108" s="21"/>
      <c r="B108" s="125">
        <v>9</v>
      </c>
      <c r="C108" s="125"/>
      <c r="D108" s="125"/>
      <c r="E108" s="187" t="s">
        <v>152</v>
      </c>
      <c r="F108" s="120"/>
      <c r="G108" s="162"/>
      <c r="H108" s="161"/>
      <c r="I108" s="125"/>
      <c r="J108" s="152">
        <f>J113</f>
        <v>36758.29</v>
      </c>
    </row>
    <row r="109" spans="1:16" ht="20.100000000000001" customHeight="1" outlineLevel="1">
      <c r="A109" s="21"/>
      <c r="B109" s="116" t="s">
        <v>46</v>
      </c>
      <c r="C109" s="44">
        <v>87879</v>
      </c>
      <c r="D109" s="129" t="s">
        <v>203</v>
      </c>
      <c r="E109" s="46" t="s">
        <v>136</v>
      </c>
      <c r="F109" s="116" t="s">
        <v>28</v>
      </c>
      <c r="G109" s="153">
        <f>'MEMÓRIA DE CÁLCULO'!C366</f>
        <v>606.03</v>
      </c>
      <c r="H109" s="213">
        <v>2.89</v>
      </c>
      <c r="I109" s="212">
        <f t="shared" ref="I109:I111" si="27">TRUNC(H109*$J$9+H109,2)</f>
        <v>3.72</v>
      </c>
      <c r="J109" s="212">
        <f t="shared" ref="J109:J111" si="28">TRUNC(I109*G109,2)</f>
        <v>2254.4299999999998</v>
      </c>
      <c r="L109" s="130">
        <v>5.38</v>
      </c>
      <c r="M109" s="259">
        <v>1.88</v>
      </c>
    </row>
    <row r="110" spans="1:16" s="134" customFormat="1" ht="20.100000000000001" customHeight="1" outlineLevel="1">
      <c r="A110" s="131"/>
      <c r="B110" s="208" t="s">
        <v>70</v>
      </c>
      <c r="C110" s="140">
        <v>89173</v>
      </c>
      <c r="D110" s="129" t="s">
        <v>203</v>
      </c>
      <c r="E110" s="133" t="s">
        <v>344</v>
      </c>
      <c r="F110" s="132" t="s">
        <v>28</v>
      </c>
      <c r="G110" s="154">
        <f>'MEMÓRIA DE CÁLCULO'!C366</f>
        <v>606.03</v>
      </c>
      <c r="H110" s="213">
        <v>26.56</v>
      </c>
      <c r="I110" s="212">
        <f t="shared" si="27"/>
        <v>34.21</v>
      </c>
      <c r="J110" s="212">
        <f t="shared" si="28"/>
        <v>20732.28</v>
      </c>
      <c r="L110" s="134">
        <v>25.39</v>
      </c>
      <c r="M110" s="260">
        <v>16.920000000000002</v>
      </c>
      <c r="N110" s="260"/>
      <c r="O110" s="260"/>
      <c r="P110" s="260"/>
    </row>
    <row r="111" spans="1:16" ht="30.6" customHeight="1" outlineLevel="1">
      <c r="A111" s="21"/>
      <c r="B111" s="208" t="s">
        <v>47</v>
      </c>
      <c r="C111" s="47">
        <v>87275</v>
      </c>
      <c r="D111" s="129" t="s">
        <v>203</v>
      </c>
      <c r="E111" s="115" t="s">
        <v>1134</v>
      </c>
      <c r="F111" s="116" t="s">
        <v>28</v>
      </c>
      <c r="G111" s="153">
        <f>'MEMÓRIA DE CÁLCULO'!C374</f>
        <v>66.960000000000008</v>
      </c>
      <c r="H111" s="213">
        <v>53.44</v>
      </c>
      <c r="I111" s="212">
        <f t="shared" si="27"/>
        <v>68.84</v>
      </c>
      <c r="J111" s="212">
        <f t="shared" si="28"/>
        <v>4609.5200000000004</v>
      </c>
      <c r="L111" s="130">
        <v>57.37</v>
      </c>
      <c r="M111" s="259">
        <v>34.769999999999996</v>
      </c>
    </row>
    <row r="112" spans="1:16" s="210" customFormat="1" ht="30.6" customHeight="1" outlineLevel="1">
      <c r="A112" s="204"/>
      <c r="B112" s="208" t="s">
        <v>48</v>
      </c>
      <c r="C112" s="47">
        <v>96111</v>
      </c>
      <c r="D112" s="129" t="s">
        <v>203</v>
      </c>
      <c r="E112" s="207" t="s">
        <v>1144</v>
      </c>
      <c r="F112" s="208" t="s">
        <v>28</v>
      </c>
      <c r="G112" s="212">
        <f>'MEMÓRIA DE CÁLCULO'!C388</f>
        <v>130.17999999999998</v>
      </c>
      <c r="H112" s="213">
        <v>54.64</v>
      </c>
      <c r="I112" s="212">
        <f t="shared" ref="I112" si="29">TRUNC(H112*$J$9+H112,2)</f>
        <v>70.38</v>
      </c>
      <c r="J112" s="212">
        <f t="shared" ref="J112" si="30">TRUNC(I112*G112,2)</f>
        <v>9162.06</v>
      </c>
      <c r="M112" s="259"/>
      <c r="N112" s="259"/>
      <c r="O112" s="259"/>
      <c r="P112" s="259"/>
    </row>
    <row r="113" spans="1:16" ht="20.100000000000001" customHeight="1" outlineLevel="1">
      <c r="A113" s="21"/>
      <c r="B113" s="127"/>
      <c r="C113" s="127"/>
      <c r="D113" s="127"/>
      <c r="E113" s="127"/>
      <c r="F113" s="127"/>
      <c r="G113" s="11"/>
      <c r="H113" s="143" t="s">
        <v>61</v>
      </c>
      <c r="I113" s="153"/>
      <c r="J113" s="155">
        <f>SUM(J109:J112)</f>
        <v>36758.29</v>
      </c>
      <c r="L113" s="130" t="s">
        <v>61</v>
      </c>
      <c r="M113" s="259" t="s">
        <v>61</v>
      </c>
    </row>
    <row r="114" spans="1:16" ht="20.100000000000001" customHeight="1">
      <c r="A114" s="21"/>
      <c r="B114" s="21"/>
      <c r="C114" s="21"/>
      <c r="D114" s="21"/>
      <c r="E114" s="3"/>
      <c r="F114" s="21"/>
      <c r="G114" s="15"/>
      <c r="H114" s="160"/>
      <c r="I114" s="21"/>
      <c r="J114" s="157"/>
    </row>
    <row r="115" spans="1:16" ht="20.100000000000001" customHeight="1">
      <c r="A115" s="21"/>
      <c r="B115" s="125">
        <v>10</v>
      </c>
      <c r="C115" s="125"/>
      <c r="D115" s="125"/>
      <c r="E115" s="187" t="s">
        <v>155</v>
      </c>
      <c r="F115" s="120"/>
      <c r="G115" s="151"/>
      <c r="H115" s="161"/>
      <c r="I115" s="125"/>
      <c r="J115" s="152">
        <f>J122</f>
        <v>23352.690000000002</v>
      </c>
    </row>
    <row r="116" spans="1:16" s="20" customFormat="1" ht="20.100000000000001" customHeight="1" outlineLevel="1">
      <c r="A116" s="21"/>
      <c r="B116" s="11" t="s">
        <v>49</v>
      </c>
      <c r="C116" s="116"/>
      <c r="D116" s="116"/>
      <c r="E116" s="117" t="s">
        <v>108</v>
      </c>
      <c r="F116" s="116"/>
      <c r="G116" s="153"/>
      <c r="H116" s="154"/>
      <c r="I116" s="153">
        <v>0</v>
      </c>
      <c r="J116" s="153"/>
      <c r="M116" s="261"/>
      <c r="N116" s="261"/>
      <c r="O116" s="261"/>
      <c r="P116" s="261"/>
    </row>
    <row r="117" spans="1:16" s="20" customFormat="1" ht="19.5" customHeight="1" outlineLevel="1">
      <c r="A117" s="21"/>
      <c r="B117" s="116" t="s">
        <v>86</v>
      </c>
      <c r="C117" s="111">
        <v>87690</v>
      </c>
      <c r="D117" s="129" t="s">
        <v>203</v>
      </c>
      <c r="E117" s="115" t="s">
        <v>132</v>
      </c>
      <c r="F117" s="116" t="s">
        <v>28</v>
      </c>
      <c r="G117" s="153">
        <f>'MEMÓRIA DE CÁLCULO'!C402</f>
        <v>130.17999999999998</v>
      </c>
      <c r="H117" s="212">
        <v>34.700000000000003</v>
      </c>
      <c r="I117" s="212">
        <f t="shared" ref="I117:I121" si="31">TRUNC(H117*$J$9+H117,2)</f>
        <v>44.7</v>
      </c>
      <c r="J117" s="212">
        <f t="shared" ref="J117:J119" si="32">TRUNC(I117*G117,2)</f>
        <v>5819.04</v>
      </c>
      <c r="L117" s="20">
        <v>28.9</v>
      </c>
      <c r="M117" s="261">
        <v>21.41</v>
      </c>
      <c r="N117" s="261"/>
      <c r="O117" s="261"/>
      <c r="P117" s="261"/>
    </row>
    <row r="118" spans="1:16" ht="26.4" outlineLevel="1">
      <c r="A118" s="21"/>
      <c r="B118" s="116" t="s">
        <v>87</v>
      </c>
      <c r="C118" s="47">
        <v>87257</v>
      </c>
      <c r="D118" s="129" t="s">
        <v>203</v>
      </c>
      <c r="E118" s="115" t="s">
        <v>327</v>
      </c>
      <c r="F118" s="116" t="s">
        <v>28</v>
      </c>
      <c r="G118" s="153">
        <f>'MEMÓRIA DE CÁLCULO'!C416</f>
        <v>130.17999999999998</v>
      </c>
      <c r="H118" s="212">
        <v>55.57</v>
      </c>
      <c r="I118" s="212">
        <f t="shared" si="31"/>
        <v>71.58</v>
      </c>
      <c r="J118" s="212">
        <f t="shared" si="32"/>
        <v>9318.2800000000007</v>
      </c>
      <c r="L118" s="130">
        <v>33.75</v>
      </c>
      <c r="M118" s="259">
        <v>34.76</v>
      </c>
    </row>
    <row r="119" spans="1:16" ht="26.4" outlineLevel="1">
      <c r="A119" s="21"/>
      <c r="B119" s="116" t="s">
        <v>334</v>
      </c>
      <c r="C119" s="47">
        <v>87257</v>
      </c>
      <c r="D119" s="129" t="s">
        <v>203</v>
      </c>
      <c r="E119" s="115" t="s">
        <v>331</v>
      </c>
      <c r="F119" s="116" t="s">
        <v>28</v>
      </c>
      <c r="G119" s="153">
        <f>'MEMÓRIA DE CÁLCULO'!C430</f>
        <v>93.740000000000009</v>
      </c>
      <c r="H119" s="212">
        <v>55.57</v>
      </c>
      <c r="I119" s="212">
        <f t="shared" si="31"/>
        <v>71.58</v>
      </c>
      <c r="J119" s="212">
        <f t="shared" si="32"/>
        <v>6709.9</v>
      </c>
      <c r="M119" s="259">
        <v>34.76</v>
      </c>
    </row>
    <row r="120" spans="1:16" s="20" customFormat="1" ht="20.100000000000001" customHeight="1" outlineLevel="1">
      <c r="A120" s="21"/>
      <c r="B120" s="11" t="s">
        <v>50</v>
      </c>
      <c r="C120" s="116"/>
      <c r="D120" s="116"/>
      <c r="E120" s="117" t="s">
        <v>56</v>
      </c>
      <c r="F120" s="116"/>
      <c r="G120" s="153"/>
      <c r="H120" s="154"/>
      <c r="I120" s="212">
        <f t="shared" si="31"/>
        <v>0</v>
      </c>
      <c r="J120" s="153"/>
      <c r="M120" s="261"/>
      <c r="N120" s="261"/>
      <c r="O120" s="261"/>
      <c r="P120" s="261"/>
    </row>
    <row r="121" spans="1:16" ht="19.5" customHeight="1" outlineLevel="1">
      <c r="A121" s="21"/>
      <c r="B121" s="116" t="s">
        <v>88</v>
      </c>
      <c r="C121" s="116">
        <v>94990</v>
      </c>
      <c r="D121" s="129" t="s">
        <v>203</v>
      </c>
      <c r="E121" s="115" t="s">
        <v>116</v>
      </c>
      <c r="F121" s="119" t="s">
        <v>26</v>
      </c>
      <c r="G121" s="153">
        <f>'MEMÓRIA DE CÁLCULO'!C436</f>
        <v>2.0965000000000003</v>
      </c>
      <c r="H121" s="213">
        <v>557.44000000000005</v>
      </c>
      <c r="I121" s="212">
        <f t="shared" si="31"/>
        <v>718.09</v>
      </c>
      <c r="J121" s="212">
        <f t="shared" ref="J121" si="33">TRUNC(I121*G121,2)</f>
        <v>1505.47</v>
      </c>
      <c r="L121" s="130">
        <v>35.619999999999997</v>
      </c>
      <c r="M121" s="259">
        <v>350.34000000000003</v>
      </c>
    </row>
    <row r="122" spans="1:16" ht="20.100000000000001" customHeight="1" outlineLevel="1">
      <c r="A122" s="21"/>
      <c r="B122" s="127"/>
      <c r="C122" s="127"/>
      <c r="D122" s="127"/>
      <c r="E122" s="127"/>
      <c r="F122" s="127"/>
      <c r="G122" s="11"/>
      <c r="H122" s="143" t="s">
        <v>61</v>
      </c>
      <c r="I122" s="153"/>
      <c r="J122" s="155">
        <f>SUM(J116:J121)</f>
        <v>23352.690000000002</v>
      </c>
      <c r="L122" s="130" t="s">
        <v>61</v>
      </c>
      <c r="M122" s="259" t="s">
        <v>61</v>
      </c>
    </row>
    <row r="123" spans="1:16" ht="20.100000000000001" customHeight="1">
      <c r="A123" s="21"/>
      <c r="B123" s="21"/>
      <c r="C123" s="21"/>
      <c r="D123" s="21"/>
      <c r="E123" s="3"/>
      <c r="F123" s="21"/>
      <c r="G123" s="15"/>
      <c r="H123" s="160"/>
      <c r="I123" s="21"/>
      <c r="J123" s="157"/>
    </row>
    <row r="124" spans="1:16" ht="20.100000000000001" customHeight="1">
      <c r="A124" s="21"/>
      <c r="B124" s="125">
        <v>11</v>
      </c>
      <c r="C124" s="125"/>
      <c r="D124" s="125"/>
      <c r="E124" s="187" t="s">
        <v>151</v>
      </c>
      <c r="F124" s="120"/>
      <c r="G124" s="151"/>
      <c r="H124" s="161"/>
      <c r="I124" s="125"/>
      <c r="J124" s="152">
        <f>J130</f>
        <v>15498.240000000002</v>
      </c>
    </row>
    <row r="125" spans="1:16" s="210" customFormat="1" ht="20.100000000000001" customHeight="1">
      <c r="A125" s="204"/>
      <c r="B125" s="208" t="s">
        <v>0</v>
      </c>
      <c r="C125" s="208">
        <v>88485</v>
      </c>
      <c r="D125" s="208" t="s">
        <v>203</v>
      </c>
      <c r="E125" s="207" t="s">
        <v>1147</v>
      </c>
      <c r="F125" s="208" t="s">
        <v>28</v>
      </c>
      <c r="G125" s="212">
        <f>'MEMÓRIA DE CÁLCULO'!C441</f>
        <v>539.06999999999994</v>
      </c>
      <c r="H125" s="213">
        <v>2.02</v>
      </c>
      <c r="I125" s="212">
        <f t="shared" ref="I125" si="34">TRUNC(H125*$J$9+H125,2)</f>
        <v>2.6</v>
      </c>
      <c r="J125" s="212">
        <f t="shared" ref="J125" si="35">TRUNC(I125*G125,2)</f>
        <v>1401.58</v>
      </c>
      <c r="M125" s="259"/>
      <c r="N125" s="259"/>
      <c r="O125" s="259"/>
      <c r="P125" s="259"/>
    </row>
    <row r="126" spans="1:16" ht="19.5" customHeight="1" outlineLevel="1">
      <c r="A126" s="21"/>
      <c r="B126" s="208" t="s">
        <v>71</v>
      </c>
      <c r="C126" s="116">
        <v>88489</v>
      </c>
      <c r="D126" s="116" t="s">
        <v>203</v>
      </c>
      <c r="E126" s="115" t="s">
        <v>149</v>
      </c>
      <c r="F126" s="116" t="s">
        <v>28</v>
      </c>
      <c r="G126" s="153">
        <f>G125</f>
        <v>539.06999999999994</v>
      </c>
      <c r="H126" s="213">
        <v>11.77</v>
      </c>
      <c r="I126" s="212">
        <f t="shared" ref="I126:I129" si="36">TRUNC(H126*$J$9+H126,2)</f>
        <v>15.16</v>
      </c>
      <c r="J126" s="212">
        <f t="shared" ref="J126:J129" si="37">TRUNC(I126*G126,2)</f>
        <v>8172.3</v>
      </c>
      <c r="L126" s="130">
        <v>9.5</v>
      </c>
      <c r="M126" s="259">
        <v>7.55</v>
      </c>
    </row>
    <row r="127" spans="1:16" ht="19.5" customHeight="1" outlineLevel="1">
      <c r="A127" s="21"/>
      <c r="B127" s="208" t="s">
        <v>9</v>
      </c>
      <c r="C127" s="208">
        <v>102218</v>
      </c>
      <c r="D127" s="116" t="s">
        <v>203</v>
      </c>
      <c r="E127" s="115" t="s">
        <v>150</v>
      </c>
      <c r="F127" s="116" t="s">
        <v>28</v>
      </c>
      <c r="G127" s="153">
        <f>'MEMÓRIA DE CÁLCULO'!B450</f>
        <v>46.620000000000005</v>
      </c>
      <c r="H127" s="154">
        <v>10.78</v>
      </c>
      <c r="I127" s="212">
        <f t="shared" si="36"/>
        <v>13.88</v>
      </c>
      <c r="J127" s="212">
        <f t="shared" si="37"/>
        <v>647.08000000000004</v>
      </c>
      <c r="L127" s="130">
        <v>18.579999999999998</v>
      </c>
      <c r="M127" s="259">
        <v>15.4</v>
      </c>
    </row>
    <row r="128" spans="1:16" s="210" customFormat="1" ht="19.5" customHeight="1" outlineLevel="1">
      <c r="A128" s="204"/>
      <c r="B128" s="208" t="s">
        <v>1</v>
      </c>
      <c r="C128" s="208">
        <v>88415</v>
      </c>
      <c r="D128" s="208" t="s">
        <v>203</v>
      </c>
      <c r="E128" s="207" t="s">
        <v>1145</v>
      </c>
      <c r="F128" s="208" t="s">
        <v>28</v>
      </c>
      <c r="G128" s="212">
        <f>'MEMÓRIA DE CÁLCULO'!B455</f>
        <v>152.83200000000002</v>
      </c>
      <c r="H128" s="213">
        <v>2.31</v>
      </c>
      <c r="I128" s="212">
        <f t="shared" ref="I128" si="38">TRUNC(H128*$J$9+H128,2)</f>
        <v>2.97</v>
      </c>
      <c r="J128" s="212">
        <f t="shared" ref="J128" si="39">TRUNC(I128*G128,2)</f>
        <v>453.91</v>
      </c>
      <c r="M128" s="259"/>
      <c r="N128" s="259"/>
      <c r="O128" s="259"/>
      <c r="P128" s="259"/>
    </row>
    <row r="129" spans="1:16" ht="20.100000000000001" customHeight="1" outlineLevel="1">
      <c r="A129" s="21"/>
      <c r="B129" s="208" t="s">
        <v>329</v>
      </c>
      <c r="C129" s="208">
        <v>95305</v>
      </c>
      <c r="D129" s="129" t="s">
        <v>203</v>
      </c>
      <c r="E129" s="115" t="s">
        <v>1146</v>
      </c>
      <c r="F129" s="116" t="s">
        <v>28</v>
      </c>
      <c r="G129" s="153">
        <f>G128</f>
        <v>152.83200000000002</v>
      </c>
      <c r="H129" s="154">
        <f>12.25*2</f>
        <v>24.5</v>
      </c>
      <c r="I129" s="212">
        <f t="shared" si="36"/>
        <v>31.56</v>
      </c>
      <c r="J129" s="212">
        <f t="shared" si="37"/>
        <v>4823.37</v>
      </c>
      <c r="M129" s="259">
        <v>7.84</v>
      </c>
    </row>
    <row r="130" spans="1:16" ht="20.100000000000001" customHeight="1" outlineLevel="1">
      <c r="A130" s="21"/>
      <c r="B130" s="127"/>
      <c r="C130" s="127"/>
      <c r="D130" s="127"/>
      <c r="E130" s="127"/>
      <c r="F130" s="127"/>
      <c r="G130" s="11"/>
      <c r="H130" s="143" t="s">
        <v>61</v>
      </c>
      <c r="I130" s="153"/>
      <c r="J130" s="155">
        <f>SUM(J125:J129)</f>
        <v>15498.240000000002</v>
      </c>
      <c r="L130" s="130" t="s">
        <v>61</v>
      </c>
      <c r="M130" s="259" t="s">
        <v>61</v>
      </c>
    </row>
    <row r="131" spans="1:16" s="20" customFormat="1" ht="20.100000000000001" customHeight="1">
      <c r="A131" s="21"/>
      <c r="B131" s="21"/>
      <c r="C131" s="21"/>
      <c r="D131" s="21"/>
      <c r="E131" s="3"/>
      <c r="F131" s="21"/>
      <c r="G131" s="15"/>
      <c r="H131" s="160"/>
      <c r="I131" s="21"/>
      <c r="J131" s="157"/>
      <c r="M131" s="261"/>
      <c r="N131" s="261"/>
      <c r="O131" s="261"/>
      <c r="P131" s="261"/>
    </row>
    <row r="132" spans="1:16" ht="20.100000000000001" customHeight="1">
      <c r="A132" s="21"/>
      <c r="B132" s="125">
        <v>12</v>
      </c>
      <c r="C132" s="125"/>
      <c r="D132" s="125"/>
      <c r="E132" s="187" t="s">
        <v>157</v>
      </c>
      <c r="F132" s="120"/>
      <c r="G132" s="151"/>
      <c r="H132" s="161"/>
      <c r="I132" s="125"/>
      <c r="J132" s="152">
        <f>J155</f>
        <v>3182.27</v>
      </c>
    </row>
    <row r="133" spans="1:16" s="20" customFormat="1" ht="20.100000000000001" customHeight="1" outlineLevel="1">
      <c r="A133" s="21"/>
      <c r="B133" s="13" t="s">
        <v>2</v>
      </c>
      <c r="C133" s="13"/>
      <c r="D133" s="13"/>
      <c r="E133" s="10" t="s">
        <v>179</v>
      </c>
      <c r="F133" s="128"/>
      <c r="G133" s="153"/>
      <c r="H133" s="154"/>
      <c r="I133" s="153">
        <v>0</v>
      </c>
      <c r="J133" s="153"/>
      <c r="M133" s="261"/>
      <c r="N133" s="261"/>
      <c r="O133" s="261"/>
      <c r="P133" s="261"/>
    </row>
    <row r="134" spans="1:16" s="20" customFormat="1" ht="20.100000000000001" customHeight="1" outlineLevel="1">
      <c r="A134" s="21"/>
      <c r="B134" s="129" t="s">
        <v>90</v>
      </c>
      <c r="C134" s="119">
        <v>89446</v>
      </c>
      <c r="D134" s="129" t="s">
        <v>203</v>
      </c>
      <c r="E134" s="118" t="s">
        <v>133</v>
      </c>
      <c r="F134" s="119" t="s">
        <v>32</v>
      </c>
      <c r="G134" s="153">
        <f>5*12</f>
        <v>60</v>
      </c>
      <c r="H134" s="213">
        <v>4.7699999999999996</v>
      </c>
      <c r="I134" s="212">
        <f t="shared" ref="I134:I154" si="40">TRUNC(H134*$J$9+H134,2)</f>
        <v>6.14</v>
      </c>
      <c r="J134" s="212">
        <f t="shared" ref="J134:J142" si="41">TRUNC(I134*G134,2)</f>
        <v>368.4</v>
      </c>
      <c r="L134" s="20">
        <v>3.76</v>
      </c>
      <c r="M134" s="261">
        <v>2.3499999999999996</v>
      </c>
      <c r="N134" s="261"/>
      <c r="O134" s="261"/>
      <c r="P134" s="261"/>
    </row>
    <row r="135" spans="1:16" s="20" customFormat="1" ht="20.100000000000001" customHeight="1" outlineLevel="1">
      <c r="A135" s="21"/>
      <c r="B135" s="129" t="s">
        <v>91</v>
      </c>
      <c r="C135" s="129">
        <v>89449</v>
      </c>
      <c r="D135" s="129" t="s">
        <v>203</v>
      </c>
      <c r="E135" s="118" t="s">
        <v>1162</v>
      </c>
      <c r="F135" s="119" t="s">
        <v>32</v>
      </c>
      <c r="G135" s="153">
        <f>4*12</f>
        <v>48</v>
      </c>
      <c r="H135" s="213">
        <v>16.93</v>
      </c>
      <c r="I135" s="212">
        <f t="shared" si="40"/>
        <v>21.8</v>
      </c>
      <c r="J135" s="212">
        <f t="shared" si="41"/>
        <v>1046.4000000000001</v>
      </c>
      <c r="L135" s="20">
        <v>11.05</v>
      </c>
      <c r="M135" s="261">
        <v>7.1099999999999994</v>
      </c>
      <c r="N135" s="261"/>
      <c r="O135" s="261"/>
      <c r="P135" s="261"/>
    </row>
    <row r="136" spans="1:16" s="20" customFormat="1" ht="20.100000000000001" customHeight="1" outlineLevel="1">
      <c r="A136" s="21"/>
      <c r="B136" s="129" t="s">
        <v>109</v>
      </c>
      <c r="C136" s="119">
        <v>89485</v>
      </c>
      <c r="D136" s="119" t="s">
        <v>203</v>
      </c>
      <c r="E136" s="118" t="s">
        <v>117</v>
      </c>
      <c r="F136" s="119" t="s">
        <v>23</v>
      </c>
      <c r="G136" s="153">
        <v>12</v>
      </c>
      <c r="H136" s="213">
        <v>4.4000000000000004</v>
      </c>
      <c r="I136" s="212">
        <f t="shared" si="40"/>
        <v>5.66</v>
      </c>
      <c r="J136" s="212">
        <f t="shared" si="41"/>
        <v>67.92</v>
      </c>
      <c r="L136" s="20">
        <v>3.21</v>
      </c>
      <c r="M136" s="261">
        <v>2.54</v>
      </c>
      <c r="N136" s="261"/>
      <c r="O136" s="261"/>
      <c r="P136" s="261"/>
    </row>
    <row r="137" spans="1:16" s="20" customFormat="1" ht="20.100000000000001" customHeight="1" outlineLevel="1">
      <c r="A137" s="21"/>
      <c r="B137" s="129" t="s">
        <v>110</v>
      </c>
      <c r="C137" s="119">
        <v>89481</v>
      </c>
      <c r="D137" s="119" t="s">
        <v>203</v>
      </c>
      <c r="E137" s="118" t="s">
        <v>118</v>
      </c>
      <c r="F137" s="119" t="s">
        <v>23</v>
      </c>
      <c r="G137" s="153">
        <v>4</v>
      </c>
      <c r="H137" s="213">
        <v>3.57</v>
      </c>
      <c r="I137" s="212">
        <f t="shared" si="40"/>
        <v>4.59</v>
      </c>
      <c r="J137" s="212">
        <f t="shared" si="41"/>
        <v>18.36</v>
      </c>
      <c r="L137" s="20">
        <v>2.85</v>
      </c>
      <c r="M137" s="261">
        <v>2.15</v>
      </c>
      <c r="N137" s="261"/>
      <c r="O137" s="261"/>
      <c r="P137" s="261"/>
    </row>
    <row r="138" spans="1:16" s="20" customFormat="1" ht="20.100000000000001" customHeight="1" outlineLevel="1">
      <c r="A138" s="21"/>
      <c r="B138" s="129" t="s">
        <v>111</v>
      </c>
      <c r="C138" s="129">
        <v>89498</v>
      </c>
      <c r="D138" s="119" t="s">
        <v>203</v>
      </c>
      <c r="E138" s="118" t="s">
        <v>1163</v>
      </c>
      <c r="F138" s="119" t="s">
        <v>23</v>
      </c>
      <c r="G138" s="153">
        <v>4</v>
      </c>
      <c r="H138" s="213">
        <v>11.04</v>
      </c>
      <c r="I138" s="212">
        <f t="shared" si="40"/>
        <v>14.22</v>
      </c>
      <c r="J138" s="212">
        <f t="shared" si="41"/>
        <v>56.88</v>
      </c>
      <c r="L138" s="20">
        <v>6.66</v>
      </c>
      <c r="M138" s="261">
        <v>5.44</v>
      </c>
      <c r="N138" s="261"/>
      <c r="O138" s="261"/>
      <c r="P138" s="261"/>
    </row>
    <row r="139" spans="1:16" s="20" customFormat="1" ht="20.100000000000001" customHeight="1" outlineLevel="1">
      <c r="A139" s="21"/>
      <c r="B139" s="129" t="s">
        <v>112</v>
      </c>
      <c r="C139" s="135">
        <v>89617</v>
      </c>
      <c r="D139" s="135" t="s">
        <v>203</v>
      </c>
      <c r="E139" s="170" t="s">
        <v>134</v>
      </c>
      <c r="F139" s="135" t="s">
        <v>23</v>
      </c>
      <c r="G139" s="154">
        <v>4</v>
      </c>
      <c r="H139" s="213">
        <v>5.24</v>
      </c>
      <c r="I139" s="212">
        <f t="shared" si="40"/>
        <v>6.75</v>
      </c>
      <c r="J139" s="212">
        <f t="shared" si="41"/>
        <v>27</v>
      </c>
      <c r="L139" s="20">
        <v>4.09</v>
      </c>
      <c r="M139" s="261">
        <v>3.1100000000000003</v>
      </c>
      <c r="N139" s="261"/>
      <c r="O139" s="261"/>
      <c r="P139" s="261"/>
    </row>
    <row r="140" spans="1:16" s="20" customFormat="1" ht="20.100000000000001" customHeight="1" outlineLevel="1">
      <c r="A140" s="21"/>
      <c r="B140" s="129" t="s">
        <v>113</v>
      </c>
      <c r="C140" s="211">
        <v>89625</v>
      </c>
      <c r="D140" s="135" t="s">
        <v>203</v>
      </c>
      <c r="E140" s="335" t="s">
        <v>1164</v>
      </c>
      <c r="F140" s="135" t="s">
        <v>23</v>
      </c>
      <c r="G140" s="154">
        <v>4</v>
      </c>
      <c r="H140" s="213">
        <v>19</v>
      </c>
      <c r="I140" s="212">
        <f t="shared" si="40"/>
        <v>24.47</v>
      </c>
      <c r="J140" s="212">
        <f t="shared" si="41"/>
        <v>97.88</v>
      </c>
      <c r="L140" s="20">
        <v>10.17</v>
      </c>
      <c r="M140" s="261">
        <v>8.51</v>
      </c>
      <c r="N140" s="261"/>
      <c r="O140" s="261"/>
      <c r="P140" s="261"/>
    </row>
    <row r="141" spans="1:16" s="20" customFormat="1" ht="20.100000000000001" customHeight="1" outlineLevel="1">
      <c r="A141" s="21"/>
      <c r="B141" s="129" t="s">
        <v>114</v>
      </c>
      <c r="C141" s="135">
        <v>89485</v>
      </c>
      <c r="D141" s="135" t="s">
        <v>203</v>
      </c>
      <c r="E141" s="170" t="s">
        <v>243</v>
      </c>
      <c r="F141" s="135" t="s">
        <v>23</v>
      </c>
      <c r="G141" s="154">
        <v>4</v>
      </c>
      <c r="H141" s="213">
        <v>4.4000000000000004</v>
      </c>
      <c r="I141" s="212">
        <f t="shared" si="40"/>
        <v>5.66</v>
      </c>
      <c r="J141" s="212">
        <f t="shared" si="41"/>
        <v>22.64</v>
      </c>
      <c r="L141" s="20">
        <v>3.21</v>
      </c>
      <c r="M141" s="261">
        <v>2.54</v>
      </c>
      <c r="N141" s="261"/>
      <c r="O141" s="261"/>
      <c r="P141" s="261"/>
    </row>
    <row r="142" spans="1:16" s="20" customFormat="1" ht="20.100000000000001" customHeight="1" outlineLevel="1">
      <c r="A142" s="21"/>
      <c r="B142" s="129" t="s">
        <v>115</v>
      </c>
      <c r="C142" s="135">
        <v>90373</v>
      </c>
      <c r="D142" s="135" t="s">
        <v>203</v>
      </c>
      <c r="E142" s="170" t="s">
        <v>238</v>
      </c>
      <c r="F142" s="135" t="s">
        <v>23</v>
      </c>
      <c r="G142" s="154">
        <v>4</v>
      </c>
      <c r="H142" s="213">
        <v>12.32</v>
      </c>
      <c r="I142" s="212">
        <f t="shared" si="40"/>
        <v>15.87</v>
      </c>
      <c r="J142" s="212">
        <f t="shared" si="41"/>
        <v>63.48</v>
      </c>
      <c r="L142" s="20">
        <v>8.65</v>
      </c>
      <c r="M142" s="261">
        <v>6.9</v>
      </c>
      <c r="N142" s="261"/>
      <c r="O142" s="261"/>
      <c r="P142" s="261"/>
    </row>
    <row r="143" spans="1:16" s="20" customFormat="1" ht="20.100000000000001" customHeight="1" outlineLevel="1">
      <c r="A143" s="21"/>
      <c r="B143" s="171" t="s">
        <v>3</v>
      </c>
      <c r="C143" s="169"/>
      <c r="D143" s="172"/>
      <c r="E143" s="174" t="s">
        <v>141</v>
      </c>
      <c r="F143" s="138"/>
      <c r="G143" s="154"/>
      <c r="H143" s="154"/>
      <c r="I143" s="212">
        <f t="shared" si="40"/>
        <v>0</v>
      </c>
      <c r="J143" s="154"/>
      <c r="M143" s="261"/>
      <c r="N143" s="261"/>
      <c r="O143" s="261"/>
      <c r="P143" s="261"/>
    </row>
    <row r="144" spans="1:16" s="20" customFormat="1" ht="20.100000000000001" customHeight="1" outlineLevel="1">
      <c r="A144" s="21"/>
      <c r="B144" s="169" t="s">
        <v>92</v>
      </c>
      <c r="C144" s="173">
        <v>89353</v>
      </c>
      <c r="D144" s="135" t="s">
        <v>203</v>
      </c>
      <c r="E144" s="170" t="s">
        <v>239</v>
      </c>
      <c r="F144" s="135" t="s">
        <v>23</v>
      </c>
      <c r="G144" s="154">
        <v>4</v>
      </c>
      <c r="H144" s="213">
        <v>31.1</v>
      </c>
      <c r="I144" s="212">
        <f t="shared" si="40"/>
        <v>40.06</v>
      </c>
      <c r="J144" s="212">
        <f t="shared" ref="J144:J154" si="42">TRUNC(I144*G144,2)</f>
        <v>160.24</v>
      </c>
      <c r="L144" s="20">
        <v>21.7</v>
      </c>
      <c r="M144" s="261">
        <v>18.64</v>
      </c>
      <c r="N144" s="261"/>
      <c r="O144" s="261"/>
      <c r="P144" s="261"/>
    </row>
    <row r="145" spans="1:16" s="20" customFormat="1" ht="20.100000000000001" customHeight="1" outlineLevel="1">
      <c r="A145" s="21"/>
      <c r="B145" s="169" t="s">
        <v>93</v>
      </c>
      <c r="C145" s="173">
        <v>89353</v>
      </c>
      <c r="D145" s="135" t="s">
        <v>203</v>
      </c>
      <c r="E145" s="170" t="s">
        <v>240</v>
      </c>
      <c r="F145" s="135" t="s">
        <v>23</v>
      </c>
      <c r="G145" s="154">
        <v>4</v>
      </c>
      <c r="H145" s="213">
        <v>31.1</v>
      </c>
      <c r="I145" s="212">
        <f t="shared" si="40"/>
        <v>40.06</v>
      </c>
      <c r="J145" s="212">
        <f t="shared" si="42"/>
        <v>160.24</v>
      </c>
      <c r="L145" s="20">
        <v>21.7</v>
      </c>
      <c r="M145" s="261">
        <v>18.64</v>
      </c>
      <c r="N145" s="261"/>
      <c r="O145" s="261"/>
      <c r="P145" s="261"/>
    </row>
    <row r="146" spans="1:16" s="20" customFormat="1" ht="20.100000000000001" customHeight="1" outlineLevel="1">
      <c r="A146" s="21"/>
      <c r="B146" s="169" t="s">
        <v>94</v>
      </c>
      <c r="C146" s="135">
        <v>94797</v>
      </c>
      <c r="D146" s="135" t="s">
        <v>203</v>
      </c>
      <c r="E146" s="170" t="s">
        <v>138</v>
      </c>
      <c r="F146" s="135" t="s">
        <v>23</v>
      </c>
      <c r="G146" s="154">
        <v>1</v>
      </c>
      <c r="H146" s="213">
        <v>53.12</v>
      </c>
      <c r="I146" s="212">
        <f t="shared" si="40"/>
        <v>68.42</v>
      </c>
      <c r="J146" s="212">
        <f t="shared" si="42"/>
        <v>68.42</v>
      </c>
      <c r="L146" s="20">
        <v>34.299999999999997</v>
      </c>
      <c r="M146" s="261">
        <v>29.58</v>
      </c>
      <c r="N146" s="261"/>
      <c r="O146" s="261"/>
      <c r="P146" s="261"/>
    </row>
    <row r="147" spans="1:16" s="20" customFormat="1" ht="27" customHeight="1" outlineLevel="1">
      <c r="A147" s="204"/>
      <c r="B147" s="169" t="s">
        <v>95</v>
      </c>
      <c r="C147" s="211">
        <v>94706</v>
      </c>
      <c r="D147" s="211" t="s">
        <v>203</v>
      </c>
      <c r="E147" s="335" t="s">
        <v>1165</v>
      </c>
      <c r="F147" s="211" t="s">
        <v>23</v>
      </c>
      <c r="G147" s="213">
        <v>3</v>
      </c>
      <c r="H147" s="213">
        <v>38.159999999999997</v>
      </c>
      <c r="I147" s="212">
        <f t="shared" si="40"/>
        <v>49.15</v>
      </c>
      <c r="J147" s="212">
        <f t="shared" si="42"/>
        <v>147.44999999999999</v>
      </c>
      <c r="M147" s="261"/>
      <c r="N147" s="261"/>
      <c r="O147" s="261"/>
      <c r="P147" s="261"/>
    </row>
    <row r="148" spans="1:16" s="20" customFormat="1" ht="20.100000000000001" customHeight="1" outlineLevel="1">
      <c r="A148" s="21"/>
      <c r="B148" s="169" t="s">
        <v>263</v>
      </c>
      <c r="C148" s="135">
        <v>94703</v>
      </c>
      <c r="D148" s="135" t="s">
        <v>203</v>
      </c>
      <c r="E148" s="170" t="s">
        <v>241</v>
      </c>
      <c r="F148" s="135" t="s">
        <v>23</v>
      </c>
      <c r="G148" s="154">
        <v>8</v>
      </c>
      <c r="H148" s="213">
        <v>17.91</v>
      </c>
      <c r="I148" s="212">
        <f t="shared" si="40"/>
        <v>23.07</v>
      </c>
      <c r="J148" s="212">
        <f t="shared" si="42"/>
        <v>184.56</v>
      </c>
      <c r="L148" s="20">
        <v>16.46</v>
      </c>
      <c r="M148" s="261">
        <v>9.4899999999999984</v>
      </c>
      <c r="N148" s="261"/>
      <c r="O148" s="261"/>
      <c r="P148" s="261"/>
    </row>
    <row r="149" spans="1:16" s="20" customFormat="1" ht="20.100000000000001" customHeight="1" outlineLevel="1">
      <c r="A149" s="21"/>
      <c r="B149" s="169" t="s">
        <v>264</v>
      </c>
      <c r="C149" s="135">
        <v>94703</v>
      </c>
      <c r="D149" s="135" t="s">
        <v>203</v>
      </c>
      <c r="E149" s="170" t="s">
        <v>242</v>
      </c>
      <c r="F149" s="135" t="s">
        <v>23</v>
      </c>
      <c r="G149" s="154">
        <v>8</v>
      </c>
      <c r="H149" s="213">
        <v>17.91</v>
      </c>
      <c r="I149" s="212">
        <f t="shared" si="40"/>
        <v>23.07</v>
      </c>
      <c r="J149" s="212">
        <f t="shared" si="42"/>
        <v>184.56</v>
      </c>
      <c r="L149" s="20">
        <v>16.46</v>
      </c>
      <c r="M149" s="261">
        <v>9.4899999999999984</v>
      </c>
      <c r="N149" s="261"/>
      <c r="O149" s="261"/>
      <c r="P149" s="261"/>
    </row>
    <row r="150" spans="1:16" s="20" customFormat="1" ht="19.5" customHeight="1" outlineLevel="1">
      <c r="A150" s="21"/>
      <c r="B150" s="169" t="s">
        <v>265</v>
      </c>
      <c r="C150" s="211">
        <v>34637</v>
      </c>
      <c r="D150" s="135" t="s">
        <v>203</v>
      </c>
      <c r="E150" s="333" t="s">
        <v>1161</v>
      </c>
      <c r="F150" s="135" t="s">
        <v>23</v>
      </c>
      <c r="G150" s="154">
        <v>1</v>
      </c>
      <c r="H150" s="213">
        <v>241.14</v>
      </c>
      <c r="I150" s="212">
        <f t="shared" si="40"/>
        <v>310.63</v>
      </c>
      <c r="J150" s="212">
        <f t="shared" si="42"/>
        <v>310.63</v>
      </c>
      <c r="L150" s="20">
        <v>404.5</v>
      </c>
      <c r="M150" s="261">
        <v>2223.2399999999998</v>
      </c>
      <c r="N150" s="261"/>
      <c r="O150" s="261"/>
      <c r="P150" s="261"/>
    </row>
    <row r="151" spans="1:16" s="20" customFormat="1" ht="19.5" customHeight="1" outlineLevel="1">
      <c r="A151" s="21"/>
      <c r="B151" s="169" t="s">
        <v>266</v>
      </c>
      <c r="C151" s="135">
        <v>122</v>
      </c>
      <c r="D151" s="135" t="s">
        <v>203</v>
      </c>
      <c r="E151" s="137" t="s">
        <v>244</v>
      </c>
      <c r="F151" s="135" t="s">
        <v>23</v>
      </c>
      <c r="G151" s="154">
        <v>1</v>
      </c>
      <c r="H151" s="213">
        <v>63.41</v>
      </c>
      <c r="I151" s="212">
        <f t="shared" si="40"/>
        <v>81.680000000000007</v>
      </c>
      <c r="J151" s="212">
        <f t="shared" si="42"/>
        <v>81.680000000000007</v>
      </c>
      <c r="L151" s="20">
        <v>45.16</v>
      </c>
      <c r="M151" s="261">
        <v>35.39</v>
      </c>
      <c r="N151" s="261"/>
      <c r="O151" s="261"/>
      <c r="P151" s="261"/>
    </row>
    <row r="152" spans="1:16" s="20" customFormat="1" ht="19.5" customHeight="1" outlineLevel="1">
      <c r="A152" s="21"/>
      <c r="B152" s="169" t="s">
        <v>267</v>
      </c>
      <c r="C152" s="135">
        <v>20083</v>
      </c>
      <c r="D152" s="135" t="s">
        <v>203</v>
      </c>
      <c r="E152" s="137" t="s">
        <v>245</v>
      </c>
      <c r="F152" s="135" t="s">
        <v>23</v>
      </c>
      <c r="G152" s="154">
        <v>1</v>
      </c>
      <c r="H152" s="213">
        <v>55.07</v>
      </c>
      <c r="I152" s="212">
        <f t="shared" si="40"/>
        <v>70.94</v>
      </c>
      <c r="J152" s="212">
        <f t="shared" si="42"/>
        <v>70.94</v>
      </c>
      <c r="L152" s="20">
        <v>39.22</v>
      </c>
      <c r="M152" s="261">
        <v>30.73</v>
      </c>
      <c r="N152" s="261"/>
      <c r="O152" s="261"/>
      <c r="P152" s="261"/>
    </row>
    <row r="153" spans="1:16" s="20" customFormat="1" ht="19.5" customHeight="1" outlineLevel="1">
      <c r="A153" s="21"/>
      <c r="B153" s="169" t="s">
        <v>268</v>
      </c>
      <c r="C153" s="135">
        <v>38383</v>
      </c>
      <c r="D153" s="135" t="s">
        <v>203</v>
      </c>
      <c r="E153" s="137" t="s">
        <v>246</v>
      </c>
      <c r="F153" s="135" t="s">
        <v>23</v>
      </c>
      <c r="G153" s="154">
        <v>10</v>
      </c>
      <c r="H153" s="213">
        <v>1.84</v>
      </c>
      <c r="I153" s="212">
        <f t="shared" si="40"/>
        <v>2.37</v>
      </c>
      <c r="J153" s="212">
        <f t="shared" si="42"/>
        <v>23.7</v>
      </c>
      <c r="L153" s="20">
        <v>1.77</v>
      </c>
      <c r="M153" s="261">
        <v>1.39</v>
      </c>
      <c r="N153" s="261"/>
      <c r="O153" s="261"/>
      <c r="P153" s="261"/>
    </row>
    <row r="154" spans="1:16" s="20" customFormat="1" ht="19.5" customHeight="1" outlineLevel="1">
      <c r="A154" s="21"/>
      <c r="B154" s="169" t="s">
        <v>1166</v>
      </c>
      <c r="C154" s="135">
        <v>3148</v>
      </c>
      <c r="D154" s="135" t="s">
        <v>203</v>
      </c>
      <c r="E154" s="137" t="s">
        <v>247</v>
      </c>
      <c r="F154" s="135" t="s">
        <v>23</v>
      </c>
      <c r="G154" s="154">
        <v>1</v>
      </c>
      <c r="H154" s="213">
        <v>16.22</v>
      </c>
      <c r="I154" s="212">
        <f t="shared" si="40"/>
        <v>20.89</v>
      </c>
      <c r="J154" s="212">
        <f t="shared" si="42"/>
        <v>20.89</v>
      </c>
      <c r="L154" s="20">
        <v>10.29</v>
      </c>
      <c r="M154" s="261">
        <v>9.19</v>
      </c>
      <c r="N154" s="261"/>
      <c r="O154" s="261"/>
      <c r="P154" s="261"/>
    </row>
    <row r="155" spans="1:16" s="20" customFormat="1" ht="20.100000000000001" customHeight="1" outlineLevel="1">
      <c r="A155" s="21"/>
      <c r="B155" s="174"/>
      <c r="C155" s="174"/>
      <c r="D155" s="174"/>
      <c r="E155" s="174"/>
      <c r="F155" s="174"/>
      <c r="G155" s="175"/>
      <c r="H155" s="143" t="s">
        <v>61</v>
      </c>
      <c r="I155" s="153"/>
      <c r="J155" s="176">
        <f>SUM(J133:J154)</f>
        <v>3182.27</v>
      </c>
      <c r="L155" s="20" t="s">
        <v>61</v>
      </c>
      <c r="M155" s="261" t="s">
        <v>61</v>
      </c>
      <c r="N155" s="261"/>
      <c r="O155" s="261"/>
      <c r="P155" s="261"/>
    </row>
    <row r="156" spans="1:16" s="20" customFormat="1" ht="20.100000000000001" customHeight="1">
      <c r="A156" s="21"/>
      <c r="B156" s="21"/>
      <c r="C156" s="21"/>
      <c r="D156" s="21"/>
      <c r="E156" s="3"/>
      <c r="F156" s="21"/>
      <c r="G156" s="15"/>
      <c r="H156" s="160"/>
      <c r="I156" s="21"/>
      <c r="J156" s="157"/>
      <c r="M156" s="261"/>
      <c r="N156" s="261"/>
      <c r="O156" s="261"/>
      <c r="P156" s="261"/>
    </row>
    <row r="157" spans="1:16" s="20" customFormat="1" ht="20.100000000000001" customHeight="1">
      <c r="A157" s="21"/>
      <c r="B157" s="125">
        <v>13</v>
      </c>
      <c r="C157" s="125"/>
      <c r="D157" s="125"/>
      <c r="E157" s="187" t="s">
        <v>158</v>
      </c>
      <c r="F157" s="120"/>
      <c r="G157" s="151"/>
      <c r="H157" s="161"/>
      <c r="I157" s="125"/>
      <c r="J157" s="152">
        <f>J177</f>
        <v>12505.47</v>
      </c>
      <c r="M157" s="261"/>
      <c r="N157" s="261"/>
      <c r="O157" s="261"/>
      <c r="P157" s="261"/>
    </row>
    <row r="158" spans="1:16" s="20" customFormat="1" ht="20.100000000000001" customHeight="1" outlineLevel="1">
      <c r="A158" s="21"/>
      <c r="B158" s="13" t="s">
        <v>10</v>
      </c>
      <c r="C158" s="13"/>
      <c r="D158" s="13"/>
      <c r="E158" s="10" t="s">
        <v>179</v>
      </c>
      <c r="F158" s="128"/>
      <c r="G158" s="153"/>
      <c r="H158" s="154"/>
      <c r="I158" s="153"/>
      <c r="J158" s="153"/>
      <c r="M158" s="261"/>
      <c r="N158" s="261"/>
      <c r="O158" s="261"/>
      <c r="P158" s="261"/>
    </row>
    <row r="159" spans="1:16" s="20" customFormat="1" ht="20.100000000000001" customHeight="1" outlineLevel="1">
      <c r="A159" s="204"/>
      <c r="B159" s="211" t="s">
        <v>96</v>
      </c>
      <c r="C159" s="129">
        <v>93358</v>
      </c>
      <c r="D159" s="348" t="s">
        <v>203</v>
      </c>
      <c r="E159" s="349" t="s">
        <v>1167</v>
      </c>
      <c r="F159" s="129" t="s">
        <v>26</v>
      </c>
      <c r="G159" s="212">
        <f>(G163*0.3*0.4)</f>
        <v>11.52</v>
      </c>
      <c r="H159" s="350">
        <v>57.55</v>
      </c>
      <c r="I159" s="212">
        <f t="shared" ref="I159:I160" si="43">TRUNC(H159*$J$9+H159,2)</f>
        <v>74.13</v>
      </c>
      <c r="J159" s="212">
        <f t="shared" ref="J159:J160" si="44">TRUNC(I159*G159,2)</f>
        <v>853.97</v>
      </c>
      <c r="M159" s="261"/>
      <c r="N159" s="261"/>
      <c r="O159" s="261"/>
      <c r="P159" s="261"/>
    </row>
    <row r="160" spans="1:16" s="20" customFormat="1" ht="20.100000000000001" customHeight="1" outlineLevel="1">
      <c r="A160" s="204"/>
      <c r="B160" s="211" t="s">
        <v>97</v>
      </c>
      <c r="C160" s="129">
        <v>93382</v>
      </c>
      <c r="D160" s="348" t="s">
        <v>203</v>
      </c>
      <c r="E160" s="349" t="s">
        <v>1170</v>
      </c>
      <c r="F160" s="129" t="s">
        <v>26</v>
      </c>
      <c r="G160" s="212">
        <f>G159*0.9</f>
        <v>10.368</v>
      </c>
      <c r="H160" s="350">
        <v>22.93</v>
      </c>
      <c r="I160" s="212">
        <f t="shared" si="43"/>
        <v>29.53</v>
      </c>
      <c r="J160" s="212">
        <f t="shared" si="44"/>
        <v>306.16000000000003</v>
      </c>
      <c r="M160" s="261"/>
      <c r="N160" s="261"/>
      <c r="O160" s="261"/>
      <c r="P160" s="261"/>
    </row>
    <row r="161" spans="1:16" s="20" customFormat="1" ht="20.100000000000001" customHeight="1" outlineLevel="1">
      <c r="A161" s="21"/>
      <c r="B161" s="211" t="s">
        <v>98</v>
      </c>
      <c r="C161" s="169">
        <v>89711</v>
      </c>
      <c r="D161" s="169" t="s">
        <v>203</v>
      </c>
      <c r="E161" s="170" t="s">
        <v>121</v>
      </c>
      <c r="F161" s="135" t="s">
        <v>32</v>
      </c>
      <c r="G161" s="154">
        <v>12</v>
      </c>
      <c r="H161" s="213">
        <v>14.14</v>
      </c>
      <c r="I161" s="212">
        <f t="shared" ref="I161:I176" si="45">TRUNC(H161*$J$9+H161,2)</f>
        <v>18.21</v>
      </c>
      <c r="J161" s="212">
        <f t="shared" ref="J161:J172" si="46">TRUNC(I161*G161,2)</f>
        <v>218.52</v>
      </c>
      <c r="L161" s="20">
        <v>11.87</v>
      </c>
      <c r="M161" s="261">
        <v>9.0300000000000011</v>
      </c>
      <c r="N161" s="261"/>
      <c r="O161" s="261"/>
      <c r="P161" s="261"/>
    </row>
    <row r="162" spans="1:16" s="20" customFormat="1" ht="20.100000000000001" customHeight="1" outlineLevel="1">
      <c r="A162" s="21"/>
      <c r="B162" s="211" t="s">
        <v>99</v>
      </c>
      <c r="C162" s="169">
        <v>89712</v>
      </c>
      <c r="D162" s="169" t="s">
        <v>203</v>
      </c>
      <c r="E162" s="170" t="s">
        <v>122</v>
      </c>
      <c r="F162" s="135" t="s">
        <v>32</v>
      </c>
      <c r="G162" s="154">
        <v>12</v>
      </c>
      <c r="H162" s="213">
        <v>21.44</v>
      </c>
      <c r="I162" s="212">
        <f t="shared" si="45"/>
        <v>27.61</v>
      </c>
      <c r="J162" s="212">
        <f t="shared" si="46"/>
        <v>331.32</v>
      </c>
      <c r="L162" s="20">
        <v>17.5</v>
      </c>
      <c r="M162" s="261">
        <v>13.379999999999999</v>
      </c>
      <c r="N162" s="261"/>
      <c r="O162" s="261"/>
      <c r="P162" s="261"/>
    </row>
    <row r="163" spans="1:16" s="20" customFormat="1" ht="20.100000000000001" customHeight="1" outlineLevel="1">
      <c r="A163" s="21"/>
      <c r="B163" s="211" t="s">
        <v>100</v>
      </c>
      <c r="C163" s="169">
        <v>89714</v>
      </c>
      <c r="D163" s="169" t="s">
        <v>203</v>
      </c>
      <c r="E163" s="170" t="s">
        <v>120</v>
      </c>
      <c r="F163" s="135" t="s">
        <v>32</v>
      </c>
      <c r="G163" s="154">
        <f>8*12</f>
        <v>96</v>
      </c>
      <c r="H163" s="213">
        <v>41.84</v>
      </c>
      <c r="I163" s="212">
        <f t="shared" si="45"/>
        <v>53.89</v>
      </c>
      <c r="J163" s="212">
        <f t="shared" si="46"/>
        <v>5173.4399999999996</v>
      </c>
      <c r="L163" s="20">
        <v>33.76</v>
      </c>
      <c r="M163" s="261">
        <v>26.17</v>
      </c>
      <c r="N163" s="261"/>
      <c r="O163" s="261"/>
      <c r="P163" s="261"/>
    </row>
    <row r="164" spans="1:16" s="20" customFormat="1" ht="20.100000000000001" customHeight="1" outlineLevel="1">
      <c r="A164" s="21"/>
      <c r="B164" s="211" t="s">
        <v>101</v>
      </c>
      <c r="C164" s="135">
        <v>89726</v>
      </c>
      <c r="D164" s="135" t="s">
        <v>203</v>
      </c>
      <c r="E164" s="170" t="s">
        <v>123</v>
      </c>
      <c r="F164" s="135" t="s">
        <v>23</v>
      </c>
      <c r="G164" s="154">
        <v>4</v>
      </c>
      <c r="H164" s="213">
        <v>5.46</v>
      </c>
      <c r="I164" s="212">
        <f t="shared" si="45"/>
        <v>7.03</v>
      </c>
      <c r="J164" s="212">
        <f t="shared" si="46"/>
        <v>28.12</v>
      </c>
      <c r="L164" s="20">
        <v>5.49</v>
      </c>
      <c r="M164" s="261">
        <v>3.45</v>
      </c>
      <c r="N164" s="261"/>
      <c r="O164" s="261"/>
      <c r="P164" s="261"/>
    </row>
    <row r="165" spans="1:16" s="20" customFormat="1" ht="20.100000000000001" customHeight="1" outlineLevel="1">
      <c r="A165" s="21"/>
      <c r="B165" s="211" t="s">
        <v>181</v>
      </c>
      <c r="C165" s="135">
        <v>89746</v>
      </c>
      <c r="D165" s="135" t="s">
        <v>203</v>
      </c>
      <c r="E165" s="170" t="s">
        <v>139</v>
      </c>
      <c r="F165" s="135" t="s">
        <v>23</v>
      </c>
      <c r="G165" s="154">
        <v>4</v>
      </c>
      <c r="H165" s="213">
        <v>19.239999999999998</v>
      </c>
      <c r="I165" s="212">
        <f t="shared" si="45"/>
        <v>24.78</v>
      </c>
      <c r="J165" s="212">
        <f t="shared" si="46"/>
        <v>99.12</v>
      </c>
      <c r="L165" s="20">
        <v>14.78</v>
      </c>
      <c r="M165" s="261">
        <v>11.69</v>
      </c>
      <c r="N165" s="261"/>
      <c r="O165" s="261"/>
      <c r="P165" s="261"/>
    </row>
    <row r="166" spans="1:16" s="20" customFormat="1" ht="20.100000000000001" customHeight="1" outlineLevel="1">
      <c r="A166" s="21"/>
      <c r="B166" s="211" t="s">
        <v>182</v>
      </c>
      <c r="C166" s="135">
        <v>89724</v>
      </c>
      <c r="D166" s="135" t="s">
        <v>203</v>
      </c>
      <c r="E166" s="170" t="s">
        <v>124</v>
      </c>
      <c r="F166" s="135" t="s">
        <v>23</v>
      </c>
      <c r="G166" s="154">
        <v>4</v>
      </c>
      <c r="H166" s="213">
        <v>7.6</v>
      </c>
      <c r="I166" s="212">
        <f t="shared" si="45"/>
        <v>9.7899999999999991</v>
      </c>
      <c r="J166" s="212">
        <f t="shared" si="46"/>
        <v>39.159999999999997</v>
      </c>
      <c r="L166" s="20">
        <v>4.8899999999999997</v>
      </c>
      <c r="M166" s="261">
        <v>4.59</v>
      </c>
      <c r="N166" s="261"/>
      <c r="O166" s="261"/>
      <c r="P166" s="261"/>
    </row>
    <row r="167" spans="1:16" s="20" customFormat="1" ht="20.100000000000001" customHeight="1" outlineLevel="1">
      <c r="A167" s="21"/>
      <c r="B167" s="211" t="s">
        <v>183</v>
      </c>
      <c r="C167" s="135">
        <v>89732</v>
      </c>
      <c r="D167" s="135" t="s">
        <v>203</v>
      </c>
      <c r="E167" s="170" t="s">
        <v>236</v>
      </c>
      <c r="F167" s="135" t="s">
        <v>23</v>
      </c>
      <c r="G167" s="154">
        <v>4</v>
      </c>
      <c r="H167" s="213">
        <v>9.11</v>
      </c>
      <c r="I167" s="212">
        <f t="shared" si="45"/>
        <v>11.73</v>
      </c>
      <c r="J167" s="212">
        <f t="shared" si="46"/>
        <v>46.92</v>
      </c>
      <c r="L167" s="20">
        <v>7.03</v>
      </c>
      <c r="M167" s="261">
        <v>5.59</v>
      </c>
      <c r="N167" s="261"/>
      <c r="O167" s="261"/>
      <c r="P167" s="261"/>
    </row>
    <row r="168" spans="1:16" s="20" customFormat="1" ht="20.100000000000001" customHeight="1" outlineLevel="1">
      <c r="A168" s="21"/>
      <c r="B168" s="211" t="s">
        <v>184</v>
      </c>
      <c r="C168" s="135">
        <v>89733</v>
      </c>
      <c r="D168" s="135" t="s">
        <v>203</v>
      </c>
      <c r="E168" s="170" t="s">
        <v>235</v>
      </c>
      <c r="F168" s="135" t="s">
        <v>23</v>
      </c>
      <c r="G168" s="154">
        <v>4</v>
      </c>
      <c r="H168" s="213">
        <v>14.54</v>
      </c>
      <c r="I168" s="212">
        <f t="shared" si="45"/>
        <v>18.73</v>
      </c>
      <c r="J168" s="212">
        <f t="shared" si="46"/>
        <v>74.92</v>
      </c>
      <c r="L168" s="20">
        <v>11.4</v>
      </c>
      <c r="M168" s="261">
        <v>8.51</v>
      </c>
      <c r="N168" s="261"/>
      <c r="O168" s="261"/>
      <c r="P168" s="261"/>
    </row>
    <row r="169" spans="1:16" s="20" customFormat="1" ht="20.100000000000001" customHeight="1" outlineLevel="1">
      <c r="A169" s="21"/>
      <c r="B169" s="211" t="s">
        <v>261</v>
      </c>
      <c r="C169" s="135">
        <v>89744</v>
      </c>
      <c r="D169" s="135" t="s">
        <v>203</v>
      </c>
      <c r="E169" s="170" t="s">
        <v>232</v>
      </c>
      <c r="F169" s="135" t="s">
        <v>23</v>
      </c>
      <c r="G169" s="154">
        <v>4</v>
      </c>
      <c r="H169" s="213">
        <v>19.28</v>
      </c>
      <c r="I169" s="212">
        <f t="shared" si="45"/>
        <v>24.83</v>
      </c>
      <c r="J169" s="212">
        <f t="shared" si="46"/>
        <v>99.32</v>
      </c>
      <c r="L169" s="20">
        <v>14.72</v>
      </c>
      <c r="M169" s="261">
        <v>11.71</v>
      </c>
      <c r="N169" s="261"/>
      <c r="O169" s="261"/>
      <c r="P169" s="261"/>
    </row>
    <row r="170" spans="1:16" s="20" customFormat="1" ht="20.100000000000001" customHeight="1" outlineLevel="1">
      <c r="A170" s="21"/>
      <c r="B170" s="211" t="s">
        <v>262</v>
      </c>
      <c r="C170" s="135">
        <v>89690</v>
      </c>
      <c r="D170" s="135" t="s">
        <v>203</v>
      </c>
      <c r="E170" s="170" t="s">
        <v>233</v>
      </c>
      <c r="F170" s="135" t="s">
        <v>23</v>
      </c>
      <c r="G170" s="154">
        <v>4</v>
      </c>
      <c r="H170" s="213">
        <v>61.25</v>
      </c>
      <c r="I170" s="212">
        <f t="shared" si="45"/>
        <v>78.900000000000006</v>
      </c>
      <c r="J170" s="212">
        <f t="shared" si="46"/>
        <v>315.60000000000002</v>
      </c>
      <c r="L170" s="20">
        <v>55.37</v>
      </c>
      <c r="M170" s="261">
        <v>33.839999999999996</v>
      </c>
      <c r="N170" s="261"/>
      <c r="O170" s="261"/>
      <c r="P170" s="261"/>
    </row>
    <row r="171" spans="1:16" s="20" customFormat="1" ht="20.100000000000001" customHeight="1" outlineLevel="1">
      <c r="A171" s="21"/>
      <c r="B171" s="211" t="s">
        <v>1168</v>
      </c>
      <c r="C171" s="135">
        <v>89830</v>
      </c>
      <c r="D171" s="135" t="s">
        <v>203</v>
      </c>
      <c r="E171" s="170" t="s">
        <v>234</v>
      </c>
      <c r="F171" s="135" t="s">
        <v>23</v>
      </c>
      <c r="G171" s="154">
        <v>4</v>
      </c>
      <c r="H171" s="213">
        <v>24.06</v>
      </c>
      <c r="I171" s="212">
        <f t="shared" si="45"/>
        <v>30.99</v>
      </c>
      <c r="J171" s="212">
        <f t="shared" si="46"/>
        <v>123.96</v>
      </c>
      <c r="L171" s="20">
        <v>16.11</v>
      </c>
      <c r="M171" s="261">
        <v>13.71</v>
      </c>
      <c r="N171" s="261"/>
      <c r="O171" s="261"/>
      <c r="P171" s="261"/>
    </row>
    <row r="172" spans="1:16" s="20" customFormat="1" ht="20.100000000000001" customHeight="1" outlineLevel="1">
      <c r="A172" s="21"/>
      <c r="B172" s="211" t="s">
        <v>1169</v>
      </c>
      <c r="C172" s="135">
        <v>40347</v>
      </c>
      <c r="D172" s="135" t="s">
        <v>203</v>
      </c>
      <c r="E172" s="170" t="s">
        <v>237</v>
      </c>
      <c r="F172" s="135" t="s">
        <v>23</v>
      </c>
      <c r="G172" s="154">
        <v>4</v>
      </c>
      <c r="H172" s="213">
        <v>266.58999999999997</v>
      </c>
      <c r="I172" s="212">
        <f t="shared" si="45"/>
        <v>343.42</v>
      </c>
      <c r="J172" s="212">
        <f t="shared" si="46"/>
        <v>1373.68</v>
      </c>
      <c r="L172" s="20">
        <v>138.54</v>
      </c>
      <c r="M172" s="261">
        <v>154.69</v>
      </c>
      <c r="N172" s="261"/>
      <c r="O172" s="261"/>
      <c r="P172" s="261"/>
    </row>
    <row r="173" spans="1:16" s="20" customFormat="1" ht="20.100000000000001" customHeight="1" outlineLevel="1">
      <c r="A173" s="21"/>
      <c r="B173" s="171" t="s">
        <v>4</v>
      </c>
      <c r="C173" s="135"/>
      <c r="D173" s="135"/>
      <c r="E173" s="174" t="s">
        <v>180</v>
      </c>
      <c r="F173" s="135"/>
      <c r="G173" s="154"/>
      <c r="H173" s="154"/>
      <c r="I173" s="212"/>
      <c r="J173" s="154"/>
      <c r="M173" s="261"/>
      <c r="N173" s="261"/>
      <c r="O173" s="261"/>
      <c r="P173" s="261"/>
    </row>
    <row r="174" spans="1:16" s="20" customFormat="1" ht="20.100000000000001" customHeight="1" outlineLevel="1">
      <c r="A174" s="21"/>
      <c r="B174" s="135" t="s">
        <v>102</v>
      </c>
      <c r="C174" s="169">
        <v>89707</v>
      </c>
      <c r="D174" s="169" t="s">
        <v>203</v>
      </c>
      <c r="E174" s="170" t="s">
        <v>166</v>
      </c>
      <c r="F174" s="135" t="s">
        <v>23</v>
      </c>
      <c r="G174" s="154">
        <v>4</v>
      </c>
      <c r="H174" s="213">
        <v>26.35</v>
      </c>
      <c r="I174" s="212">
        <f t="shared" si="45"/>
        <v>33.94</v>
      </c>
      <c r="J174" s="212">
        <f t="shared" ref="J174:J176" si="47">TRUNC(I174*G174,2)</f>
        <v>135.76</v>
      </c>
      <c r="L174" s="20">
        <v>20.03</v>
      </c>
      <c r="M174" s="261">
        <v>15.86</v>
      </c>
      <c r="N174" s="261"/>
      <c r="O174" s="261"/>
      <c r="P174" s="261"/>
    </row>
    <row r="175" spans="1:16" s="20" customFormat="1" ht="19.5" customHeight="1" outlineLevel="1">
      <c r="A175" s="21"/>
      <c r="B175" s="135" t="s">
        <v>103</v>
      </c>
      <c r="C175" s="211">
        <v>97902</v>
      </c>
      <c r="D175" s="169" t="s">
        <v>203</v>
      </c>
      <c r="E175" s="335" t="s">
        <v>1171</v>
      </c>
      <c r="F175" s="135" t="s">
        <v>23</v>
      </c>
      <c r="G175" s="154">
        <v>5</v>
      </c>
      <c r="H175" s="213">
        <v>502.24</v>
      </c>
      <c r="I175" s="212">
        <f t="shared" si="45"/>
        <v>646.98</v>
      </c>
      <c r="J175" s="212">
        <f t="shared" si="47"/>
        <v>3234.9</v>
      </c>
      <c r="L175" s="20">
        <v>346.67</v>
      </c>
      <c r="M175" s="261">
        <v>166.5</v>
      </c>
      <c r="N175" s="261"/>
      <c r="O175" s="261"/>
      <c r="P175" s="261"/>
    </row>
    <row r="176" spans="1:16" s="20" customFormat="1" ht="20.100000000000001" customHeight="1" outlineLevel="1">
      <c r="A176" s="21"/>
      <c r="B176" s="135" t="s">
        <v>104</v>
      </c>
      <c r="C176" s="135">
        <v>89710</v>
      </c>
      <c r="D176" s="169" t="s">
        <v>203</v>
      </c>
      <c r="E176" s="137" t="s">
        <v>178</v>
      </c>
      <c r="F176" s="135" t="s">
        <v>23</v>
      </c>
      <c r="G176" s="154">
        <v>4</v>
      </c>
      <c r="H176" s="213">
        <v>9.82</v>
      </c>
      <c r="I176" s="212">
        <f t="shared" si="45"/>
        <v>12.65</v>
      </c>
      <c r="J176" s="212">
        <f t="shared" si="47"/>
        <v>50.6</v>
      </c>
      <c r="L176" s="20">
        <v>7.43</v>
      </c>
      <c r="M176" s="261">
        <v>5.79</v>
      </c>
      <c r="N176" s="261"/>
      <c r="O176" s="261"/>
      <c r="P176" s="261"/>
    </row>
    <row r="177" spans="1:16" s="20" customFormat="1" ht="20.100000000000001" customHeight="1" outlineLevel="1">
      <c r="A177" s="21"/>
      <c r="B177" s="174"/>
      <c r="C177" s="174"/>
      <c r="D177" s="174"/>
      <c r="E177" s="174"/>
      <c r="F177" s="174"/>
      <c r="G177" s="175"/>
      <c r="H177" s="143" t="s">
        <v>61</v>
      </c>
      <c r="I177" s="153"/>
      <c r="J177" s="176">
        <f>SUM(J159:J176)</f>
        <v>12505.47</v>
      </c>
      <c r="L177" s="20" t="s">
        <v>61</v>
      </c>
      <c r="M177" s="261" t="s">
        <v>61</v>
      </c>
      <c r="N177" s="261"/>
      <c r="O177" s="261"/>
      <c r="P177" s="261"/>
    </row>
    <row r="178" spans="1:16" s="20" customFormat="1" ht="20.100000000000001" customHeight="1">
      <c r="A178" s="21"/>
      <c r="B178" s="21"/>
      <c r="C178" s="21"/>
      <c r="D178" s="21"/>
      <c r="E178" s="3"/>
      <c r="F178" s="21"/>
      <c r="G178" s="15"/>
      <c r="H178" s="160"/>
      <c r="I178" s="21"/>
      <c r="J178" s="157"/>
      <c r="M178" s="261"/>
      <c r="N178" s="261"/>
      <c r="O178" s="261"/>
      <c r="P178" s="261"/>
    </row>
    <row r="179" spans="1:16" s="20" customFormat="1" ht="20.100000000000001" customHeight="1">
      <c r="A179" s="21"/>
      <c r="B179" s="125">
        <v>14</v>
      </c>
      <c r="C179" s="125"/>
      <c r="D179" s="125"/>
      <c r="E179" s="187" t="s">
        <v>154</v>
      </c>
      <c r="F179" s="120"/>
      <c r="G179" s="151"/>
      <c r="H179" s="161"/>
      <c r="I179" s="125"/>
      <c r="J179" s="152">
        <f>J188</f>
        <v>4933.9400000000005</v>
      </c>
      <c r="M179" s="261"/>
      <c r="N179" s="261"/>
      <c r="O179" s="261"/>
      <c r="P179" s="261"/>
    </row>
    <row r="180" spans="1:16" s="20" customFormat="1" ht="19.5" customHeight="1" outlineLevel="1">
      <c r="A180" s="21"/>
      <c r="B180" s="119" t="s">
        <v>5</v>
      </c>
      <c r="C180" s="112">
        <v>86888</v>
      </c>
      <c r="D180" s="45" t="s">
        <v>203</v>
      </c>
      <c r="E180" s="118" t="s">
        <v>171</v>
      </c>
      <c r="F180" s="119" t="s">
        <v>23</v>
      </c>
      <c r="G180" s="153">
        <v>4</v>
      </c>
      <c r="H180" s="213">
        <v>397.54</v>
      </c>
      <c r="I180" s="212">
        <f t="shared" ref="I180:I186" si="48">TRUNC(H180*$J$9+H180,2)</f>
        <v>512.11</v>
      </c>
      <c r="J180" s="212">
        <f t="shared" ref="J180:J186" si="49">TRUNC(I180*G180,2)</f>
        <v>2048.44</v>
      </c>
      <c r="L180" s="20">
        <v>337.19</v>
      </c>
      <c r="M180" s="261">
        <v>242.5</v>
      </c>
      <c r="N180" s="261"/>
      <c r="O180" s="261"/>
      <c r="P180" s="261"/>
    </row>
    <row r="181" spans="1:16" ht="19.5" customHeight="1" outlineLevel="1">
      <c r="A181" s="21"/>
      <c r="B181" s="119" t="s">
        <v>72</v>
      </c>
      <c r="C181" s="119">
        <v>86936</v>
      </c>
      <c r="D181" s="119" t="s">
        <v>203</v>
      </c>
      <c r="E181" s="118" t="s">
        <v>170</v>
      </c>
      <c r="F181" s="119" t="s">
        <v>23</v>
      </c>
      <c r="G181" s="153">
        <v>1</v>
      </c>
      <c r="H181" s="213">
        <v>416.49</v>
      </c>
      <c r="I181" s="212">
        <f t="shared" si="48"/>
        <v>536.52</v>
      </c>
      <c r="J181" s="212">
        <f t="shared" si="49"/>
        <v>536.52</v>
      </c>
      <c r="L181" s="130">
        <v>400.5</v>
      </c>
      <c r="M181" s="259">
        <v>231.22</v>
      </c>
    </row>
    <row r="182" spans="1:16" ht="19.5" customHeight="1" outlineLevel="1">
      <c r="A182" s="21"/>
      <c r="B182" s="119" t="s">
        <v>73</v>
      </c>
      <c r="C182" s="119">
        <v>86942</v>
      </c>
      <c r="D182" s="119" t="s">
        <v>203</v>
      </c>
      <c r="E182" s="118" t="s">
        <v>172</v>
      </c>
      <c r="F182" s="119" t="s">
        <v>23</v>
      </c>
      <c r="G182" s="153">
        <v>4</v>
      </c>
      <c r="H182" s="213">
        <v>187.73</v>
      </c>
      <c r="I182" s="212">
        <f t="shared" si="48"/>
        <v>241.83</v>
      </c>
      <c r="J182" s="212">
        <f t="shared" si="49"/>
        <v>967.32</v>
      </c>
      <c r="L182" s="130">
        <v>157.88999999999999</v>
      </c>
      <c r="M182" s="259">
        <v>120.85</v>
      </c>
    </row>
    <row r="183" spans="1:16" ht="20.100000000000001" customHeight="1" outlineLevel="1">
      <c r="A183" s="21"/>
      <c r="B183" s="119" t="s">
        <v>62</v>
      </c>
      <c r="C183" s="129">
        <v>86909</v>
      </c>
      <c r="D183" s="119" t="s">
        <v>203</v>
      </c>
      <c r="E183" s="118" t="s">
        <v>173</v>
      </c>
      <c r="F183" s="119" t="s">
        <v>23</v>
      </c>
      <c r="G183" s="153">
        <v>1</v>
      </c>
      <c r="H183" s="213">
        <v>88.44</v>
      </c>
      <c r="I183" s="212">
        <f t="shared" si="48"/>
        <v>113.92</v>
      </c>
      <c r="J183" s="212">
        <f t="shared" si="49"/>
        <v>113.92</v>
      </c>
      <c r="L183" s="130">
        <v>72</v>
      </c>
      <c r="M183" s="259">
        <v>60.050000000000004</v>
      </c>
    </row>
    <row r="184" spans="1:16" ht="20.100000000000001" customHeight="1" outlineLevel="1">
      <c r="A184" s="21"/>
      <c r="B184" s="119" t="s">
        <v>63</v>
      </c>
      <c r="C184" s="119">
        <v>86906</v>
      </c>
      <c r="D184" s="119" t="s">
        <v>203</v>
      </c>
      <c r="E184" s="118" t="s">
        <v>174</v>
      </c>
      <c r="F184" s="119" t="s">
        <v>23</v>
      </c>
      <c r="G184" s="153">
        <v>4</v>
      </c>
      <c r="H184" s="213">
        <v>44.2</v>
      </c>
      <c r="I184" s="212">
        <f t="shared" si="48"/>
        <v>56.93</v>
      </c>
      <c r="J184" s="212">
        <f t="shared" si="49"/>
        <v>227.72</v>
      </c>
      <c r="L184" s="130">
        <v>36.07</v>
      </c>
      <c r="M184" s="259">
        <v>30.060000000000002</v>
      </c>
    </row>
    <row r="185" spans="1:16" s="20" customFormat="1" ht="19.5" customHeight="1" outlineLevel="1">
      <c r="A185" s="21"/>
      <c r="B185" s="119" t="s">
        <v>64</v>
      </c>
      <c r="C185" s="119">
        <v>11703</v>
      </c>
      <c r="D185" s="119" t="s">
        <v>203</v>
      </c>
      <c r="E185" s="118" t="s">
        <v>175</v>
      </c>
      <c r="F185" s="119" t="s">
        <v>23</v>
      </c>
      <c r="G185" s="153">
        <v>4</v>
      </c>
      <c r="H185" s="213">
        <v>23.86</v>
      </c>
      <c r="I185" s="212">
        <f t="shared" si="48"/>
        <v>30.73</v>
      </c>
      <c r="J185" s="212">
        <f t="shared" si="49"/>
        <v>122.92</v>
      </c>
      <c r="L185" s="20">
        <v>39</v>
      </c>
      <c r="M185" s="261">
        <v>19.72</v>
      </c>
      <c r="N185" s="261"/>
      <c r="O185" s="261"/>
      <c r="P185" s="261"/>
    </row>
    <row r="186" spans="1:16" s="49" customFormat="1" ht="20.100000000000001" customHeight="1" outlineLevel="1">
      <c r="B186" s="119" t="s">
        <v>65</v>
      </c>
      <c r="C186" s="48">
        <v>377</v>
      </c>
      <c r="D186" s="119" t="s">
        <v>203</v>
      </c>
      <c r="E186" s="118" t="s">
        <v>176</v>
      </c>
      <c r="F186" s="141" t="s">
        <v>23</v>
      </c>
      <c r="G186" s="153">
        <v>4</v>
      </c>
      <c r="H186" s="213">
        <v>29.9</v>
      </c>
      <c r="I186" s="212">
        <f t="shared" si="48"/>
        <v>38.51</v>
      </c>
      <c r="J186" s="212">
        <f t="shared" si="49"/>
        <v>154.04</v>
      </c>
      <c r="L186" s="49">
        <v>22</v>
      </c>
      <c r="M186" s="259">
        <v>18.309999999999999</v>
      </c>
      <c r="N186" s="259"/>
      <c r="O186" s="259"/>
      <c r="P186" s="259"/>
    </row>
    <row r="187" spans="1:16" s="49" customFormat="1" ht="26.4" customHeight="1" outlineLevel="1">
      <c r="B187" s="209" t="s">
        <v>1173</v>
      </c>
      <c r="C187" s="48">
        <v>86889</v>
      </c>
      <c r="D187" s="209" t="s">
        <v>203</v>
      </c>
      <c r="E187" s="118" t="s">
        <v>1172</v>
      </c>
      <c r="F187" s="141" t="s">
        <v>23</v>
      </c>
      <c r="G187" s="212">
        <v>1</v>
      </c>
      <c r="H187" s="213">
        <v>592.35</v>
      </c>
      <c r="I187" s="212">
        <f t="shared" ref="I187" si="50">TRUNC(H187*$J$9+H187,2)</f>
        <v>763.06</v>
      </c>
      <c r="J187" s="212">
        <f t="shared" ref="J187" si="51">TRUNC(I187*G187,2)</f>
        <v>763.06</v>
      </c>
      <c r="M187" s="259"/>
      <c r="N187" s="259"/>
      <c r="O187" s="259"/>
      <c r="P187" s="259"/>
    </row>
    <row r="188" spans="1:16" ht="20.100000000000001" customHeight="1" outlineLevel="1">
      <c r="A188" s="21"/>
      <c r="B188" s="127"/>
      <c r="C188" s="127"/>
      <c r="D188" s="127"/>
      <c r="E188" s="127"/>
      <c r="F188" s="127"/>
      <c r="G188" s="11"/>
      <c r="H188" s="143" t="s">
        <v>61</v>
      </c>
      <c r="I188" s="153"/>
      <c r="J188" s="155">
        <f>SUM(J180:J187)</f>
        <v>4933.9400000000005</v>
      </c>
      <c r="L188" s="130" t="s">
        <v>61</v>
      </c>
      <c r="M188" s="259" t="s">
        <v>61</v>
      </c>
    </row>
    <row r="189" spans="1:16" ht="20.100000000000001" customHeight="1">
      <c r="A189" s="21"/>
      <c r="B189" s="21"/>
      <c r="C189" s="21"/>
      <c r="D189" s="21"/>
      <c r="E189" s="3"/>
      <c r="F189" s="21"/>
      <c r="G189" s="15"/>
      <c r="H189" s="160"/>
      <c r="I189" s="21"/>
      <c r="J189" s="157"/>
    </row>
    <row r="190" spans="1:16" s="20" customFormat="1" ht="20.100000000000001" customHeight="1">
      <c r="A190" s="21"/>
      <c r="B190" s="125">
        <v>15</v>
      </c>
      <c r="C190" s="125"/>
      <c r="D190" s="125"/>
      <c r="E190" s="187" t="s">
        <v>60</v>
      </c>
      <c r="F190" s="120"/>
      <c r="G190" s="151"/>
      <c r="H190" s="161"/>
      <c r="I190" s="125"/>
      <c r="J190" s="152">
        <f>J196</f>
        <v>2920.5599999999995</v>
      </c>
      <c r="M190" s="261"/>
      <c r="N190" s="261"/>
      <c r="O190" s="261"/>
      <c r="P190" s="261"/>
    </row>
    <row r="191" spans="1:16" ht="20.100000000000001" customHeight="1" outlineLevel="1">
      <c r="A191" s="21"/>
      <c r="B191" s="119" t="s">
        <v>13</v>
      </c>
      <c r="C191" s="209">
        <v>101908</v>
      </c>
      <c r="D191" s="129" t="s">
        <v>203</v>
      </c>
      <c r="E191" s="115" t="s">
        <v>1160</v>
      </c>
      <c r="F191" s="119" t="s">
        <v>23</v>
      </c>
      <c r="G191" s="153">
        <v>2</v>
      </c>
      <c r="H191" s="213">
        <v>175.8</v>
      </c>
      <c r="I191" s="212">
        <f t="shared" ref="I191:I195" si="52">TRUNC(H191*$J$9+H191,2)</f>
        <v>226.46</v>
      </c>
      <c r="J191" s="212">
        <f t="shared" ref="J191:J195" si="53">TRUNC(I191*G191,2)</f>
        <v>452.92</v>
      </c>
      <c r="L191" s="130">
        <v>135.63999999999999</v>
      </c>
      <c r="M191" s="259">
        <v>107.89</v>
      </c>
    </row>
    <row r="192" spans="1:16" ht="20.100000000000001" customHeight="1" outlineLevel="1">
      <c r="A192" s="21"/>
      <c r="B192" s="119" t="s">
        <v>14</v>
      </c>
      <c r="C192" s="209">
        <v>101907</v>
      </c>
      <c r="D192" s="129" t="s">
        <v>203</v>
      </c>
      <c r="E192" s="115" t="s">
        <v>186</v>
      </c>
      <c r="F192" s="119" t="s">
        <v>23</v>
      </c>
      <c r="G192" s="153">
        <v>2</v>
      </c>
      <c r="H192" s="213">
        <v>585.04</v>
      </c>
      <c r="I192" s="212">
        <f t="shared" si="52"/>
        <v>753.64</v>
      </c>
      <c r="J192" s="212">
        <f t="shared" si="53"/>
        <v>1507.28</v>
      </c>
      <c r="L192" s="130">
        <v>458.18</v>
      </c>
      <c r="M192" s="259">
        <v>364.87</v>
      </c>
    </row>
    <row r="193" spans="1:16" s="20" customFormat="1" ht="20.100000000000001" customHeight="1" outlineLevel="1">
      <c r="A193" s="21"/>
      <c r="B193" s="119" t="s">
        <v>15</v>
      </c>
      <c r="C193" s="119">
        <v>38774</v>
      </c>
      <c r="D193" s="129" t="s">
        <v>203</v>
      </c>
      <c r="E193" s="115" t="s">
        <v>165</v>
      </c>
      <c r="F193" s="119" t="s">
        <v>23</v>
      </c>
      <c r="G193" s="153">
        <v>6</v>
      </c>
      <c r="H193" s="213">
        <v>26.38</v>
      </c>
      <c r="I193" s="212">
        <f t="shared" si="52"/>
        <v>33.979999999999997</v>
      </c>
      <c r="J193" s="212">
        <f t="shared" si="53"/>
        <v>203.88</v>
      </c>
      <c r="L193" s="20">
        <v>32.29</v>
      </c>
      <c r="M193" s="261">
        <v>22.93</v>
      </c>
      <c r="N193" s="261"/>
      <c r="O193" s="261"/>
      <c r="P193" s="261"/>
    </row>
    <row r="194" spans="1:16" s="20" customFormat="1" ht="26.4" outlineLevel="1">
      <c r="A194" s="21"/>
      <c r="B194" s="119" t="s">
        <v>228</v>
      </c>
      <c r="C194" s="119">
        <v>10851</v>
      </c>
      <c r="D194" s="129" t="s">
        <v>203</v>
      </c>
      <c r="E194" s="115" t="s">
        <v>230</v>
      </c>
      <c r="F194" s="119" t="s">
        <v>23</v>
      </c>
      <c r="G194" s="153">
        <v>6</v>
      </c>
      <c r="H194" s="213">
        <v>48.94</v>
      </c>
      <c r="I194" s="212">
        <f t="shared" si="52"/>
        <v>63.04</v>
      </c>
      <c r="J194" s="212">
        <f t="shared" si="53"/>
        <v>378.24</v>
      </c>
      <c r="L194" s="20">
        <v>54.99</v>
      </c>
      <c r="M194" s="261">
        <v>31.19</v>
      </c>
      <c r="N194" s="261"/>
      <c r="O194" s="261"/>
      <c r="P194" s="261"/>
    </row>
    <row r="195" spans="1:16" s="20" customFormat="1" ht="26.4" outlineLevel="1">
      <c r="A195" s="21"/>
      <c r="B195" s="119" t="s">
        <v>229</v>
      </c>
      <c r="C195" s="119">
        <v>10851</v>
      </c>
      <c r="D195" s="129" t="s">
        <v>203</v>
      </c>
      <c r="E195" s="115" t="s">
        <v>231</v>
      </c>
      <c r="F195" s="119" t="s">
        <v>23</v>
      </c>
      <c r="G195" s="153">
        <v>6</v>
      </c>
      <c r="H195" s="213">
        <v>48.94</v>
      </c>
      <c r="I195" s="212">
        <f t="shared" si="52"/>
        <v>63.04</v>
      </c>
      <c r="J195" s="212">
        <f t="shared" si="53"/>
        <v>378.24</v>
      </c>
      <c r="L195" s="20">
        <v>54.99</v>
      </c>
      <c r="M195" s="261">
        <v>31.19</v>
      </c>
      <c r="N195" s="261"/>
      <c r="O195" s="261"/>
      <c r="P195" s="261"/>
    </row>
    <row r="196" spans="1:16" s="20" customFormat="1" ht="20.100000000000001" customHeight="1" outlineLevel="1">
      <c r="A196" s="21"/>
      <c r="B196" s="127"/>
      <c r="C196" s="127"/>
      <c r="D196" s="127"/>
      <c r="E196" s="127"/>
      <c r="F196" s="127"/>
      <c r="G196" s="11"/>
      <c r="H196" s="143" t="s">
        <v>61</v>
      </c>
      <c r="I196" s="153"/>
      <c r="J196" s="155">
        <f>SUM(J191:J195)</f>
        <v>2920.5599999999995</v>
      </c>
      <c r="L196" s="20" t="s">
        <v>61</v>
      </c>
      <c r="M196" s="261" t="s">
        <v>61</v>
      </c>
      <c r="N196" s="261"/>
      <c r="O196" s="261"/>
      <c r="P196" s="261"/>
    </row>
    <row r="197" spans="1:16" s="20" customFormat="1" ht="20.100000000000001" customHeight="1">
      <c r="A197" s="21"/>
      <c r="B197" s="21"/>
      <c r="C197" s="21"/>
      <c r="D197" s="21"/>
      <c r="E197" s="3"/>
      <c r="F197" s="21"/>
      <c r="G197" s="15"/>
      <c r="H197" s="160"/>
      <c r="I197" s="21"/>
      <c r="J197" s="157"/>
      <c r="M197" s="261"/>
      <c r="N197" s="261"/>
      <c r="O197" s="261"/>
      <c r="P197" s="261"/>
    </row>
    <row r="198" spans="1:16" s="20" customFormat="1" ht="20.100000000000001" customHeight="1">
      <c r="A198" s="21"/>
      <c r="B198" s="125">
        <v>16</v>
      </c>
      <c r="C198" s="125"/>
      <c r="D198" s="125"/>
      <c r="E198" s="187" t="s">
        <v>198</v>
      </c>
      <c r="F198" s="120"/>
      <c r="G198" s="151"/>
      <c r="H198" s="161"/>
      <c r="I198" s="125"/>
      <c r="J198" s="152">
        <f>J213</f>
        <v>14507.640000000003</v>
      </c>
      <c r="M198" s="261"/>
      <c r="N198" s="261"/>
      <c r="O198" s="261"/>
      <c r="P198" s="261"/>
    </row>
    <row r="199" spans="1:16" s="20" customFormat="1" ht="20.100000000000001" customHeight="1" outlineLevel="1">
      <c r="A199" s="21"/>
      <c r="B199" s="19" t="s">
        <v>66</v>
      </c>
      <c r="C199" s="19"/>
      <c r="D199" s="19"/>
      <c r="E199" s="10" t="s">
        <v>11</v>
      </c>
      <c r="F199" s="128"/>
      <c r="G199" s="153"/>
      <c r="H199" s="154"/>
      <c r="I199" s="153"/>
      <c r="J199" s="153"/>
      <c r="M199" s="261"/>
      <c r="N199" s="261"/>
      <c r="O199" s="261"/>
      <c r="P199" s="261"/>
    </row>
    <row r="200" spans="1:16" s="20" customFormat="1" ht="19.5" customHeight="1" outlineLevel="1">
      <c r="A200" s="21"/>
      <c r="B200" s="178" t="s">
        <v>210</v>
      </c>
      <c r="C200" s="179">
        <v>101875</v>
      </c>
      <c r="D200" s="178" t="s">
        <v>203</v>
      </c>
      <c r="E200" s="351" t="s">
        <v>1174</v>
      </c>
      <c r="F200" s="135" t="s">
        <v>23</v>
      </c>
      <c r="G200" s="154">
        <v>1</v>
      </c>
      <c r="H200" s="213">
        <v>501.93</v>
      </c>
      <c r="I200" s="212">
        <f t="shared" ref="I200:I212" si="54">TRUNC(H200*$J$9+H200,2)</f>
        <v>646.58000000000004</v>
      </c>
      <c r="J200" s="212">
        <f t="shared" ref="J200:J203" si="55">TRUNC(I200*G200,2)</f>
        <v>646.58000000000004</v>
      </c>
      <c r="L200" s="20">
        <v>405.83</v>
      </c>
      <c r="M200" s="261">
        <v>390.49</v>
      </c>
      <c r="N200" s="261"/>
      <c r="O200" s="261"/>
      <c r="P200" s="261"/>
    </row>
    <row r="201" spans="1:16" s="20" customFormat="1" ht="20.100000000000001" customHeight="1" outlineLevel="1">
      <c r="A201" s="21"/>
      <c r="B201" s="178" t="s">
        <v>211</v>
      </c>
      <c r="C201" s="132">
        <v>101890</v>
      </c>
      <c r="D201" s="178" t="s">
        <v>203</v>
      </c>
      <c r="E201" s="333" t="s">
        <v>163</v>
      </c>
      <c r="F201" s="169" t="s">
        <v>23</v>
      </c>
      <c r="G201" s="154">
        <v>6</v>
      </c>
      <c r="H201" s="213">
        <v>15.37</v>
      </c>
      <c r="I201" s="212">
        <f t="shared" si="54"/>
        <v>19.79</v>
      </c>
      <c r="J201" s="212">
        <f t="shared" si="55"/>
        <v>118.74</v>
      </c>
      <c r="L201" s="20">
        <v>12.29</v>
      </c>
      <c r="M201" s="261">
        <v>9.3800000000000008</v>
      </c>
      <c r="N201" s="261"/>
      <c r="O201" s="261"/>
      <c r="P201" s="261"/>
    </row>
    <row r="202" spans="1:16" s="20" customFormat="1" ht="20.100000000000001" customHeight="1" outlineLevel="1">
      <c r="A202" s="21"/>
      <c r="B202" s="178" t="s">
        <v>212</v>
      </c>
      <c r="C202" s="132">
        <v>101892</v>
      </c>
      <c r="D202" s="178" t="s">
        <v>203</v>
      </c>
      <c r="E202" s="133" t="s">
        <v>249</v>
      </c>
      <c r="F202" s="169" t="s">
        <v>23</v>
      </c>
      <c r="G202" s="154">
        <v>4</v>
      </c>
      <c r="H202" s="213">
        <v>70.98</v>
      </c>
      <c r="I202" s="212">
        <f t="shared" si="54"/>
        <v>91.43</v>
      </c>
      <c r="J202" s="212">
        <f t="shared" si="55"/>
        <v>365.72</v>
      </c>
      <c r="L202" s="20">
        <v>57.7</v>
      </c>
      <c r="M202" s="261">
        <v>43.6</v>
      </c>
      <c r="N202" s="261"/>
      <c r="O202" s="261"/>
      <c r="P202" s="261"/>
    </row>
    <row r="203" spans="1:16" s="20" customFormat="1" ht="20.100000000000001" customHeight="1" outlineLevel="1">
      <c r="A203" s="21"/>
      <c r="B203" s="178" t="s">
        <v>213</v>
      </c>
      <c r="C203" s="132">
        <v>101893</v>
      </c>
      <c r="D203" s="178" t="s">
        <v>203</v>
      </c>
      <c r="E203" s="133" t="s">
        <v>199</v>
      </c>
      <c r="F203" s="169" t="s">
        <v>23</v>
      </c>
      <c r="G203" s="154">
        <v>1</v>
      </c>
      <c r="H203" s="154">
        <v>90.29</v>
      </c>
      <c r="I203" s="212">
        <f t="shared" si="54"/>
        <v>116.31</v>
      </c>
      <c r="J203" s="212">
        <f t="shared" si="55"/>
        <v>116.31</v>
      </c>
      <c r="L203" s="20">
        <v>57.7</v>
      </c>
      <c r="M203" s="261">
        <v>43.6</v>
      </c>
      <c r="N203" s="261"/>
      <c r="O203" s="261"/>
      <c r="P203" s="261"/>
    </row>
    <row r="204" spans="1:16" s="20" customFormat="1" ht="20.100000000000001" customHeight="1" outlineLevel="1">
      <c r="A204" s="21"/>
      <c r="B204" s="177" t="s">
        <v>67</v>
      </c>
      <c r="C204" s="175"/>
      <c r="D204" s="175"/>
      <c r="E204" s="174" t="s">
        <v>12</v>
      </c>
      <c r="F204" s="180"/>
      <c r="G204" s="154"/>
      <c r="H204" s="154"/>
      <c r="I204" s="212">
        <f t="shared" si="54"/>
        <v>0</v>
      </c>
      <c r="J204" s="154"/>
      <c r="M204" s="261"/>
      <c r="N204" s="261"/>
      <c r="O204" s="261"/>
      <c r="P204" s="261"/>
    </row>
    <row r="205" spans="1:16" s="20" customFormat="1" ht="32.4" customHeight="1" outlineLevel="1">
      <c r="A205" s="21"/>
      <c r="B205" s="178" t="s">
        <v>214</v>
      </c>
      <c r="C205" s="132">
        <v>91857</v>
      </c>
      <c r="D205" s="178" t="s">
        <v>203</v>
      </c>
      <c r="E205" s="333" t="s">
        <v>1177</v>
      </c>
      <c r="F205" s="178" t="s">
        <v>32</v>
      </c>
      <c r="G205" s="154">
        <v>60</v>
      </c>
      <c r="H205" s="213">
        <v>10.85</v>
      </c>
      <c r="I205" s="212">
        <f t="shared" si="54"/>
        <v>13.97</v>
      </c>
      <c r="J205" s="212">
        <f t="shared" ref="J205" si="56">TRUNC(I205*G205,2)</f>
        <v>838.2</v>
      </c>
      <c r="L205" s="20">
        <v>5.56</v>
      </c>
      <c r="M205" s="261">
        <v>4.42</v>
      </c>
      <c r="N205" s="261"/>
      <c r="O205" s="261"/>
      <c r="P205" s="261"/>
    </row>
    <row r="206" spans="1:16" s="20" customFormat="1" ht="20.100000000000001" customHeight="1" outlineLevel="1">
      <c r="A206" s="21"/>
      <c r="B206" s="177" t="s">
        <v>68</v>
      </c>
      <c r="C206" s="175"/>
      <c r="D206" s="175"/>
      <c r="E206" s="174" t="s">
        <v>142</v>
      </c>
      <c r="F206" s="170"/>
      <c r="G206" s="154"/>
      <c r="H206" s="154"/>
      <c r="I206" s="212">
        <f t="shared" si="54"/>
        <v>0</v>
      </c>
      <c r="J206" s="154"/>
      <c r="M206" s="261"/>
      <c r="N206" s="261"/>
      <c r="O206" s="261"/>
      <c r="P206" s="261"/>
    </row>
    <row r="207" spans="1:16" s="20" customFormat="1" ht="30.6" customHeight="1" outlineLevel="1">
      <c r="A207" s="204"/>
      <c r="B207" s="352" t="s">
        <v>215</v>
      </c>
      <c r="C207" s="353">
        <v>93128</v>
      </c>
      <c r="D207" s="178" t="s">
        <v>203</v>
      </c>
      <c r="E207" s="335" t="s">
        <v>1175</v>
      </c>
      <c r="F207" s="169" t="s">
        <v>23</v>
      </c>
      <c r="G207" s="350">
        <v>14</v>
      </c>
      <c r="H207" s="350">
        <v>110.61</v>
      </c>
      <c r="I207" s="212">
        <f t="shared" ref="I207:I209" si="57">TRUNC(H207*$J$9+H207,2)</f>
        <v>142.47999999999999</v>
      </c>
      <c r="J207" s="212">
        <f t="shared" ref="J207:J209" si="58">TRUNC(I207*G207,2)</f>
        <v>1994.72</v>
      </c>
      <c r="M207" s="261"/>
      <c r="N207" s="261"/>
      <c r="O207" s="261"/>
      <c r="P207" s="261"/>
    </row>
    <row r="208" spans="1:16" s="20" customFormat="1" ht="28.8" customHeight="1" outlineLevel="1">
      <c r="A208" s="204"/>
      <c r="B208" s="352" t="s">
        <v>216</v>
      </c>
      <c r="C208" s="353">
        <v>93141</v>
      </c>
      <c r="D208" s="178" t="s">
        <v>203</v>
      </c>
      <c r="E208" s="335" t="s">
        <v>1176</v>
      </c>
      <c r="F208" s="169" t="s">
        <v>23</v>
      </c>
      <c r="G208" s="350">
        <v>28</v>
      </c>
      <c r="H208" s="350">
        <v>139.1</v>
      </c>
      <c r="I208" s="212">
        <f t="shared" si="57"/>
        <v>179.18</v>
      </c>
      <c r="J208" s="212">
        <f t="shared" si="58"/>
        <v>5017.04</v>
      </c>
      <c r="M208" s="261"/>
      <c r="N208" s="261"/>
      <c r="O208" s="261"/>
      <c r="P208" s="261"/>
    </row>
    <row r="209" spans="1:16" s="20" customFormat="1" ht="43.2" customHeight="1" outlineLevel="1">
      <c r="A209" s="204"/>
      <c r="B209" s="352" t="s">
        <v>1178</v>
      </c>
      <c r="C209" s="353">
        <v>93144</v>
      </c>
      <c r="D209" s="178" t="s">
        <v>203</v>
      </c>
      <c r="E209" s="335" t="s">
        <v>1179</v>
      </c>
      <c r="F209" s="169" t="s">
        <v>23</v>
      </c>
      <c r="G209" s="350">
        <v>3</v>
      </c>
      <c r="H209" s="350">
        <v>191.47</v>
      </c>
      <c r="I209" s="212">
        <f t="shared" si="57"/>
        <v>246.65</v>
      </c>
      <c r="J209" s="212">
        <f t="shared" si="58"/>
        <v>739.95</v>
      </c>
      <c r="M209" s="261"/>
      <c r="N209" s="261"/>
      <c r="O209" s="261"/>
      <c r="P209" s="261"/>
    </row>
    <row r="210" spans="1:16" ht="19.5" customHeight="1" outlineLevel="1">
      <c r="A210" s="21"/>
      <c r="B210" s="352" t="s">
        <v>269</v>
      </c>
      <c r="C210" s="132">
        <v>91932</v>
      </c>
      <c r="D210" s="178" t="s">
        <v>203</v>
      </c>
      <c r="E210" s="333" t="s">
        <v>1180</v>
      </c>
      <c r="F210" s="178" t="s">
        <v>32</v>
      </c>
      <c r="G210" s="154">
        <f>3*60</f>
        <v>180</v>
      </c>
      <c r="H210" s="213">
        <v>13.43</v>
      </c>
      <c r="I210" s="212">
        <f t="shared" si="54"/>
        <v>17.3</v>
      </c>
      <c r="J210" s="212">
        <f t="shared" ref="J210" si="59">TRUNC(I210*G210,2)</f>
        <v>3114</v>
      </c>
      <c r="L210" s="130">
        <v>4.2</v>
      </c>
      <c r="M210" s="259">
        <v>3.44</v>
      </c>
    </row>
    <row r="211" spans="1:16" ht="20.100000000000001" customHeight="1" outlineLevel="1">
      <c r="A211" s="21"/>
      <c r="B211" s="19" t="s">
        <v>69</v>
      </c>
      <c r="C211" s="11"/>
      <c r="D211" s="11"/>
      <c r="E211" s="127" t="s">
        <v>1181</v>
      </c>
      <c r="F211" s="118"/>
      <c r="G211" s="153"/>
      <c r="H211" s="154"/>
      <c r="I211" s="212"/>
      <c r="J211" s="153"/>
    </row>
    <row r="212" spans="1:16" ht="26.4" outlineLevel="1">
      <c r="A212" s="21"/>
      <c r="B212" s="353" t="s">
        <v>217</v>
      </c>
      <c r="C212" s="132">
        <v>97607</v>
      </c>
      <c r="D212" s="178" t="s">
        <v>203</v>
      </c>
      <c r="E212" s="333" t="s">
        <v>1182</v>
      </c>
      <c r="F212" s="169" t="s">
        <v>23</v>
      </c>
      <c r="G212" s="154">
        <v>14</v>
      </c>
      <c r="H212" s="213">
        <v>86.3</v>
      </c>
      <c r="I212" s="212">
        <f t="shared" si="54"/>
        <v>111.17</v>
      </c>
      <c r="J212" s="212">
        <f t="shared" ref="J212" si="60">TRUNC(I212*G212,2)</f>
        <v>1556.38</v>
      </c>
      <c r="L212" s="130">
        <v>90.46</v>
      </c>
      <c r="M212" s="259">
        <v>55.58</v>
      </c>
    </row>
    <row r="213" spans="1:16" ht="20.100000000000001" customHeight="1" outlineLevel="1">
      <c r="A213" s="21"/>
      <c r="B213" s="127"/>
      <c r="C213" s="127"/>
      <c r="D213" s="127"/>
      <c r="E213" s="127"/>
      <c r="F213" s="127"/>
      <c r="G213" s="11"/>
      <c r="H213" s="143" t="s">
        <v>61</v>
      </c>
      <c r="I213" s="153"/>
      <c r="J213" s="155">
        <f>SUM(J199:J212)</f>
        <v>14507.640000000003</v>
      </c>
      <c r="L213" s="130" t="s">
        <v>61</v>
      </c>
      <c r="M213" s="259" t="s">
        <v>61</v>
      </c>
    </row>
    <row r="214" spans="1:16" ht="20.100000000000001" customHeight="1">
      <c r="A214" s="21"/>
      <c r="B214" s="21"/>
      <c r="C214" s="21"/>
      <c r="D214" s="21"/>
      <c r="E214" s="3"/>
      <c r="F214" s="21"/>
      <c r="G214" s="15"/>
      <c r="H214" s="160"/>
      <c r="I214" s="21"/>
      <c r="J214" s="157"/>
    </row>
    <row r="215" spans="1:16" s="7" customFormat="1" ht="20.100000000000001" customHeight="1">
      <c r="A215" s="21"/>
      <c r="B215" s="125">
        <v>17</v>
      </c>
      <c r="C215" s="125"/>
      <c r="D215" s="125"/>
      <c r="E215" s="187" t="s">
        <v>7</v>
      </c>
      <c r="F215" s="120"/>
      <c r="G215" s="151"/>
      <c r="H215" s="161"/>
      <c r="I215" s="125"/>
      <c r="J215" s="152">
        <f>J217</f>
        <v>405.29</v>
      </c>
      <c r="M215" s="262"/>
      <c r="N215" s="262"/>
      <c r="O215" s="262"/>
      <c r="P215" s="262"/>
    </row>
    <row r="216" spans="1:16" s="7" customFormat="1" ht="20.100000000000001" customHeight="1" outlineLevel="1">
      <c r="A216" s="21"/>
      <c r="B216" s="116" t="s">
        <v>6</v>
      </c>
      <c r="C216" s="113">
        <v>99803</v>
      </c>
      <c r="D216" s="116" t="s">
        <v>203</v>
      </c>
      <c r="E216" s="114" t="s">
        <v>1183</v>
      </c>
      <c r="F216" s="116" t="s">
        <v>28</v>
      </c>
      <c r="G216" s="153">
        <f>G118+G119</f>
        <v>223.92</v>
      </c>
      <c r="H216" s="154">
        <v>1.41</v>
      </c>
      <c r="I216" s="212">
        <f t="shared" ref="I216" si="61">TRUNC(H216*$J$9+H216,2)</f>
        <v>1.81</v>
      </c>
      <c r="J216" s="212">
        <f t="shared" ref="J216" si="62">TRUNC(I216*G216,2)</f>
        <v>405.29</v>
      </c>
      <c r="L216" s="7">
        <v>2.0499999999999998</v>
      </c>
      <c r="M216" s="262">
        <v>0.97</v>
      </c>
      <c r="N216" s="262"/>
      <c r="O216" s="262"/>
      <c r="P216" s="262"/>
    </row>
    <row r="217" spans="1:16" ht="20.100000000000001" customHeight="1" outlineLevel="1">
      <c r="A217" s="21"/>
      <c r="B217" s="127"/>
      <c r="C217" s="127"/>
      <c r="D217" s="127"/>
      <c r="E217" s="127"/>
      <c r="F217" s="127"/>
      <c r="G217" s="11"/>
      <c r="H217" s="143" t="s">
        <v>61</v>
      </c>
      <c r="I217" s="11"/>
      <c r="J217" s="155">
        <f>SUM(J216:J216)</f>
        <v>405.29</v>
      </c>
      <c r="M217" s="259" t="s">
        <v>61</v>
      </c>
    </row>
    <row r="218" spans="1:16" ht="20.100000000000001" customHeight="1">
      <c r="A218" s="21"/>
      <c r="B218" s="21"/>
      <c r="C218" s="21"/>
      <c r="D218" s="21"/>
      <c r="E218" s="3"/>
      <c r="F218" s="21"/>
      <c r="G218" s="15"/>
      <c r="H218" s="160"/>
      <c r="I218" s="21"/>
      <c r="J218" s="157"/>
    </row>
    <row r="219" spans="1:16" ht="20.100000000000001" customHeight="1">
      <c r="A219" s="21"/>
      <c r="B219" s="35"/>
      <c r="C219" s="36"/>
      <c r="D219" s="36"/>
      <c r="E219" s="188"/>
      <c r="F219" s="36"/>
      <c r="G219" s="163"/>
      <c r="H219" s="164" t="s">
        <v>197</v>
      </c>
      <c r="I219" s="165"/>
      <c r="J219" s="152">
        <f>J215+J198+J190+J179+J157+J132+J124+J115+J108+J104+J97+J85+J79+J59+J39+J31+J22+J14</f>
        <v>307006.54000000004</v>
      </c>
      <c r="K219" s="202"/>
      <c r="M219" s="259" t="s">
        <v>197</v>
      </c>
    </row>
    <row r="220" spans="1:16" ht="20.100000000000001" customHeight="1">
      <c r="A220" s="21"/>
      <c r="D220" s="9"/>
      <c r="E220" s="3"/>
      <c r="F220" s="21"/>
      <c r="G220" s="15"/>
      <c r="H220" s="160"/>
      <c r="J220" s="146"/>
    </row>
    <row r="221" spans="1:16" ht="20.100000000000001" customHeight="1">
      <c r="A221" s="21"/>
      <c r="D221" s="9"/>
      <c r="E221" s="3" t="s">
        <v>1184</v>
      </c>
      <c r="F221" s="21"/>
      <c r="G221" s="15"/>
      <c r="H221" s="160"/>
      <c r="J221" s="146"/>
    </row>
    <row r="222" spans="1:16" ht="20.100000000000001" customHeight="1">
      <c r="A222" s="21"/>
      <c r="D222" s="9"/>
      <c r="E222" s="3"/>
      <c r="F222" s="21"/>
      <c r="G222" s="15"/>
      <c r="H222" s="160"/>
      <c r="J222" s="146"/>
    </row>
    <row r="223" spans="1:16" ht="20.100000000000001" customHeight="1">
      <c r="A223" s="21"/>
      <c r="D223" s="9"/>
      <c r="E223" s="185" t="s">
        <v>1157</v>
      </c>
      <c r="F223" s="21"/>
      <c r="G223" s="15"/>
      <c r="H223" s="160"/>
      <c r="J223" s="146"/>
    </row>
    <row r="224" spans="1:16" ht="20.100000000000001" customHeight="1">
      <c r="A224" s="21"/>
      <c r="D224" s="9"/>
      <c r="E224" s="185" t="s">
        <v>1158</v>
      </c>
      <c r="F224" s="21"/>
      <c r="G224" s="15"/>
      <c r="H224" s="160"/>
      <c r="J224" s="146"/>
    </row>
    <row r="225" spans="1:16">
      <c r="E225" s="346" t="s">
        <v>1159</v>
      </c>
      <c r="H225" s="166"/>
    </row>
    <row r="226" spans="1:16">
      <c r="A226" s="130"/>
      <c r="H226" s="166"/>
      <c r="J226" s="182"/>
    </row>
    <row r="227" spans="1:16">
      <c r="A227" s="130"/>
      <c r="H227" s="166"/>
    </row>
    <row r="228" spans="1:16">
      <c r="H228" s="166"/>
    </row>
    <row r="229" spans="1:16">
      <c r="H229" s="166"/>
    </row>
    <row r="230" spans="1:16" s="5" customFormat="1">
      <c r="B230" s="6"/>
      <c r="C230" s="6"/>
      <c r="D230" s="6"/>
      <c r="E230" s="184"/>
      <c r="G230" s="14"/>
      <c r="H230" s="166"/>
      <c r="M230" s="146"/>
      <c r="N230" s="146"/>
      <c r="O230" s="146"/>
      <c r="P230" s="146"/>
    </row>
    <row r="231" spans="1:16">
      <c r="H231" s="166"/>
    </row>
    <row r="232" spans="1:16">
      <c r="H232" s="166"/>
    </row>
    <row r="233" spans="1:16">
      <c r="H233" s="166"/>
    </row>
    <row r="234" spans="1:16">
      <c r="H234" s="166"/>
    </row>
    <row r="235" spans="1:16">
      <c r="H235" s="166"/>
    </row>
    <row r="236" spans="1:16">
      <c r="H236" s="166"/>
    </row>
    <row r="237" spans="1:16">
      <c r="H237" s="166"/>
    </row>
    <row r="238" spans="1:16">
      <c r="H238" s="166"/>
    </row>
    <row r="239" spans="1:16">
      <c r="H239" s="166"/>
    </row>
    <row r="240" spans="1:16">
      <c r="H240" s="166"/>
    </row>
    <row r="241" spans="1:10">
      <c r="B241" s="130"/>
      <c r="C241" s="130"/>
      <c r="D241" s="130"/>
      <c r="E241" s="189"/>
      <c r="F241" s="130"/>
      <c r="G241" s="5"/>
      <c r="H241" s="167"/>
    </row>
    <row r="242" spans="1:10">
      <c r="A242" s="130"/>
      <c r="B242" s="130"/>
      <c r="C242" s="130"/>
      <c r="D242" s="130"/>
      <c r="E242" s="189"/>
      <c r="F242" s="130"/>
      <c r="G242" s="5"/>
      <c r="H242" s="167"/>
      <c r="I242" s="130"/>
      <c r="J242" s="130"/>
    </row>
    <row r="243" spans="1:10">
      <c r="A243" s="130"/>
      <c r="H243" s="166"/>
      <c r="I243" s="130"/>
      <c r="J243" s="130"/>
    </row>
    <row r="244" spans="1:10">
      <c r="H244" s="166"/>
      <c r="I244" s="130"/>
      <c r="J244" s="130"/>
    </row>
    <row r="245" spans="1:10">
      <c r="H245" s="166"/>
      <c r="I245" s="130"/>
      <c r="J245" s="130"/>
    </row>
    <row r="246" spans="1:10">
      <c r="H246" s="166"/>
      <c r="I246" s="130"/>
      <c r="J246" s="130"/>
    </row>
    <row r="247" spans="1:10">
      <c r="H247" s="166"/>
      <c r="I247" s="130"/>
      <c r="J247" s="130"/>
    </row>
    <row r="263" spans="1:10">
      <c r="B263" s="130"/>
      <c r="C263" s="130"/>
      <c r="D263" s="130"/>
      <c r="E263" s="189"/>
      <c r="F263" s="130"/>
      <c r="G263" s="5"/>
      <c r="H263" s="5"/>
      <c r="I263" s="130"/>
      <c r="J263" s="130"/>
    </row>
    <row r="264" spans="1:10">
      <c r="A264" s="130"/>
      <c r="I264" s="130"/>
      <c r="J264" s="130"/>
    </row>
    <row r="268" spans="1:10">
      <c r="B268" s="130"/>
      <c r="C268" s="130"/>
      <c r="D268" s="130"/>
      <c r="E268" s="189"/>
      <c r="F268" s="130"/>
      <c r="G268" s="5"/>
      <c r="H268" s="5"/>
      <c r="I268" s="130"/>
      <c r="J268" s="130"/>
    </row>
    <row r="269" spans="1:10">
      <c r="A269" s="130"/>
      <c r="I269" s="130"/>
      <c r="J269" s="130"/>
    </row>
  </sheetData>
  <mergeCells count="3">
    <mergeCell ref="B1:J3"/>
    <mergeCell ref="F6:J6"/>
    <mergeCell ref="B13:J13"/>
  </mergeCells>
  <phoneticPr fontId="32" type="noConversion"/>
  <conditionalFormatting sqref="I20 G12 G215:H215">
    <cfRule type="cellIs" dxfId="12" priority="123" stopIfTrue="1" operator="equal">
      <formula>0</formula>
    </cfRule>
  </conditionalFormatting>
  <conditionalFormatting sqref="I37">
    <cfRule type="cellIs" dxfId="11" priority="122" stopIfTrue="1" operator="equal">
      <formula>0</formula>
    </cfRule>
  </conditionalFormatting>
  <conditionalFormatting sqref="I217">
    <cfRule type="cellIs" dxfId="10" priority="106" stopIfTrue="1" operator="equal">
      <formula>0</formula>
    </cfRule>
  </conditionalFormatting>
  <conditionalFormatting sqref="H12:I12">
    <cfRule type="cellIs" dxfId="9" priority="7" stopIfTrue="1" operator="equal">
      <formula>0</formula>
    </cfRule>
  </conditionalFormatting>
  <conditionalFormatting sqref="I29">
    <cfRule type="cellIs" dxfId="8" priority="1" stopIfTrue="1" operator="equal">
      <formula>0</formula>
    </cfRule>
  </conditionalFormatting>
  <printOptions horizontalCentered="1"/>
  <pageMargins left="0.19685039370078741" right="0.19685039370078741" top="0.55118110236220474" bottom="0.39370078740157483" header="0.39370078740157483" footer="0.27559055118110237"/>
  <pageSetup paperSize="9" scale="68" fitToHeight="9" orientation="landscape" horizontalDpi="4294967295" verticalDpi="4294967295" r:id="rId1"/>
  <headerFooter alignWithMargins="0">
    <oddFooter>Página &amp;P de &amp;N</oddFooter>
  </headerFooter>
  <rowBreaks count="2" manualBreakCount="2">
    <brk id="109" min="1" max="9" man="1"/>
    <brk id="213"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86B7-DCCC-4EE5-B062-0B09BC733325}">
  <dimension ref="A1:U465"/>
  <sheetViews>
    <sheetView topLeftCell="A109" zoomScaleNormal="100" workbookViewId="0">
      <selection activeCell="C115" sqref="C115"/>
    </sheetView>
  </sheetViews>
  <sheetFormatPr defaultRowHeight="13.8"/>
  <cols>
    <col min="1" max="1" width="13.59765625" style="338" customWidth="1"/>
    <col min="2" max="2" width="15.296875" style="341" customWidth="1"/>
    <col min="3" max="3" width="9.8984375" style="343" bestFit="1" customWidth="1"/>
    <col min="4" max="4" width="9.796875" style="339" customWidth="1"/>
    <col min="5" max="7" width="15.69921875" style="331" customWidth="1"/>
    <col min="8" max="8" width="8.796875" style="331"/>
    <col min="9" max="21" width="8.796875" style="268"/>
  </cols>
  <sheetData>
    <row r="1" spans="1:14">
      <c r="A1" s="371" t="s">
        <v>1185</v>
      </c>
      <c r="B1" s="371"/>
      <c r="C1" s="371"/>
      <c r="D1" s="371"/>
      <c r="E1" s="371"/>
      <c r="F1" s="371"/>
      <c r="G1" s="371"/>
      <c r="H1" s="371"/>
      <c r="N1" s="268">
        <v>13.25</v>
      </c>
    </row>
    <row r="2" spans="1:14">
      <c r="A2" s="338" t="s">
        <v>1051</v>
      </c>
      <c r="B2" s="341" t="s">
        <v>1052</v>
      </c>
      <c r="C2" s="343" t="s">
        <v>1053</v>
      </c>
      <c r="D2" s="339" t="s">
        <v>1054</v>
      </c>
      <c r="N2" s="268">
        <v>13.25</v>
      </c>
    </row>
    <row r="3" spans="1:14" ht="30" customHeight="1">
      <c r="A3" s="338" t="str">
        <f>'PLANILHA ORÇAMENTÁRIA'!B15</f>
        <v>1.1</v>
      </c>
      <c r="B3" s="341" t="str">
        <f>'PLANILHA ORÇAMENTÁRIA'!C15</f>
        <v>74209/001</v>
      </c>
      <c r="C3" s="343" t="str">
        <f>'PLANILHA ORÇAMENTÁRIA'!D15</f>
        <v>SINAPI</v>
      </c>
      <c r="D3" s="366" t="str">
        <f>'PLANILHA ORÇAMENTÁRIA'!E15</f>
        <v>Placa de obra em chapa zincada, instalada</v>
      </c>
      <c r="E3" s="366"/>
      <c r="F3" s="366"/>
      <c r="G3" s="366"/>
      <c r="H3" s="366"/>
      <c r="N3" s="268">
        <v>10.7</v>
      </c>
    </row>
    <row r="4" spans="1:14">
      <c r="A4" s="367" t="s">
        <v>1055</v>
      </c>
      <c r="B4" s="367"/>
      <c r="C4" s="343">
        <v>4</v>
      </c>
      <c r="D4" s="339" t="s">
        <v>32</v>
      </c>
      <c r="N4" s="268">
        <v>10.7</v>
      </c>
    </row>
    <row r="5" spans="1:14">
      <c r="A5" s="367" t="s">
        <v>1056</v>
      </c>
      <c r="B5" s="367"/>
      <c r="C5" s="343">
        <v>2</v>
      </c>
      <c r="D5" s="339" t="s">
        <v>32</v>
      </c>
      <c r="N5" s="268">
        <v>10.7</v>
      </c>
    </row>
    <row r="6" spans="1:14">
      <c r="A6" s="367" t="s">
        <v>1057</v>
      </c>
      <c r="B6" s="367"/>
      <c r="C6" s="343">
        <f>C5*C4</f>
        <v>8</v>
      </c>
      <c r="D6" s="339" t="s">
        <v>28</v>
      </c>
      <c r="N6" s="268">
        <v>2.65</v>
      </c>
    </row>
    <row r="7" spans="1:14">
      <c r="N7" s="268">
        <v>2.65</v>
      </c>
    </row>
    <row r="8" spans="1:14" ht="30" customHeight="1">
      <c r="A8" s="338" t="str">
        <f>'PLANILHA ORÇAMENTÁRIA'!B16</f>
        <v>1.2</v>
      </c>
      <c r="B8" s="341" t="str">
        <f>'PLANILHA ORÇAMENTÁRIA'!C16</f>
        <v>Item 3.07</v>
      </c>
      <c r="C8" s="343" t="str">
        <f>'PLANILHA ORÇAMENTÁRIA'!D16</f>
        <v>Sinduscon</v>
      </c>
      <c r="D8" s="366" t="str">
        <f>'PLANILHA ORÇAMENTÁRIA'!E16</f>
        <v>Consumo de agua e esgoto (mensal acima de 10 m3) - 15 m3/mês</v>
      </c>
      <c r="E8" s="366"/>
      <c r="F8" s="366"/>
      <c r="G8" s="366"/>
      <c r="H8" s="366"/>
      <c r="N8" s="268">
        <v>1.2</v>
      </c>
    </row>
    <row r="9" spans="1:14">
      <c r="A9" s="338" t="s">
        <v>1058</v>
      </c>
      <c r="N9" s="268">
        <v>4.38</v>
      </c>
    </row>
    <row r="10" spans="1:14">
      <c r="A10" s="367" t="s">
        <v>1059</v>
      </c>
      <c r="B10" s="367"/>
      <c r="C10" s="343">
        <v>15</v>
      </c>
      <c r="D10" s="339" t="s">
        <v>26</v>
      </c>
      <c r="N10" s="268">
        <v>1</v>
      </c>
    </row>
    <row r="11" spans="1:14">
      <c r="A11" s="367" t="s">
        <v>1060</v>
      </c>
      <c r="B11" s="367"/>
      <c r="C11" s="343">
        <v>4</v>
      </c>
      <c r="D11" s="339" t="s">
        <v>1061</v>
      </c>
      <c r="N11" s="268">
        <v>2.2000000000000002</v>
      </c>
    </row>
    <row r="12" spans="1:14">
      <c r="A12" s="367" t="s">
        <v>1062</v>
      </c>
      <c r="B12" s="367"/>
      <c r="C12" s="343">
        <f>C11*C10</f>
        <v>60</v>
      </c>
      <c r="D12" s="339" t="s">
        <v>26</v>
      </c>
      <c r="N12" s="268">
        <v>2.5</v>
      </c>
    </row>
    <row r="13" spans="1:14">
      <c r="N13" s="268">
        <v>2.5</v>
      </c>
    </row>
    <row r="14" spans="1:14" ht="30" customHeight="1">
      <c r="A14" s="338" t="str">
        <f>'PLANILHA ORÇAMENTÁRIA'!B17</f>
        <v>1.3</v>
      </c>
      <c r="B14" s="341" t="str">
        <f>'PLANILHA ORÇAMENTÁRIA'!C17</f>
        <v>Item 3.08</v>
      </c>
      <c r="C14" s="343" t="str">
        <f>'PLANILHA ORÇAMENTÁRIA'!D17</f>
        <v>Sinduscon</v>
      </c>
      <c r="D14" s="366" t="str">
        <f>'PLANILHA ORÇAMENTÁRIA'!E17</f>
        <v>Consumo de energia - 120 kw/mês</v>
      </c>
      <c r="E14" s="366"/>
      <c r="F14" s="366"/>
      <c r="G14" s="366"/>
      <c r="H14" s="366"/>
      <c r="N14" s="268">
        <v>2.5</v>
      </c>
    </row>
    <row r="15" spans="1:14">
      <c r="A15" s="338" t="s">
        <v>1063</v>
      </c>
      <c r="N15" s="268">
        <v>7.4</v>
      </c>
    </row>
    <row r="16" spans="1:14">
      <c r="A16" s="367" t="s">
        <v>1059</v>
      </c>
      <c r="B16" s="367"/>
      <c r="C16" s="343">
        <v>500</v>
      </c>
      <c r="D16" s="339" t="s">
        <v>1064</v>
      </c>
      <c r="N16" s="268">
        <v>7.4</v>
      </c>
    </row>
    <row r="17" spans="1:14">
      <c r="A17" s="367" t="s">
        <v>1060</v>
      </c>
      <c r="B17" s="367"/>
      <c r="C17" s="343">
        <v>4</v>
      </c>
      <c r="D17" s="339" t="s">
        <v>1061</v>
      </c>
      <c r="N17" s="268">
        <v>2.6</v>
      </c>
    </row>
    <row r="18" spans="1:14">
      <c r="A18" s="367" t="s">
        <v>1062</v>
      </c>
      <c r="B18" s="367"/>
      <c r="C18" s="343">
        <f>C17*C16</f>
        <v>2000</v>
      </c>
      <c r="D18" s="339" t="s">
        <v>1064</v>
      </c>
      <c r="N18" s="268">
        <v>2.6</v>
      </c>
    </row>
    <row r="19" spans="1:14">
      <c r="N19" s="268">
        <v>1.35</v>
      </c>
    </row>
    <row r="20" spans="1:14" ht="30" customHeight="1">
      <c r="A20" s="338" t="str">
        <f>'PLANILHA ORÇAMENTÁRIA'!B18</f>
        <v>1.4</v>
      </c>
      <c r="B20" s="341">
        <f>'PLANILHA ORÇAMENTÁRIA'!C18</f>
        <v>93584</v>
      </c>
      <c r="C20" s="343" t="str">
        <f>'PLANILHA ORÇAMENTÁRIA'!D18</f>
        <v>SEINFRA</v>
      </c>
      <c r="D20" s="366" t="str">
        <f>'PLANILHA ORÇAMENTÁRIA'!E18</f>
        <v xml:space="preserve">Barracão provisório para depósito </v>
      </c>
      <c r="E20" s="366"/>
      <c r="F20" s="366"/>
      <c r="G20" s="366"/>
      <c r="H20" s="366"/>
      <c r="N20" s="268">
        <v>1.35</v>
      </c>
    </row>
    <row r="21" spans="1:14">
      <c r="A21" s="367" t="s">
        <v>1055</v>
      </c>
      <c r="B21" s="367"/>
      <c r="C21" s="343">
        <f>6*1.1</f>
        <v>6.6000000000000005</v>
      </c>
      <c r="D21" s="339" t="s">
        <v>32</v>
      </c>
      <c r="N21" s="268">
        <v>1.35</v>
      </c>
    </row>
    <row r="22" spans="1:14">
      <c r="A22" s="367" t="s">
        <v>1056</v>
      </c>
      <c r="B22" s="367"/>
      <c r="C22" s="343">
        <f>1.1*3</f>
        <v>3.3000000000000003</v>
      </c>
      <c r="D22" s="339" t="s">
        <v>32</v>
      </c>
      <c r="N22" s="268">
        <v>0.15</v>
      </c>
    </row>
    <row r="23" spans="1:14">
      <c r="A23" s="367" t="s">
        <v>1057</v>
      </c>
      <c r="B23" s="367"/>
      <c r="C23" s="343">
        <f>C22*C21</f>
        <v>21.780000000000005</v>
      </c>
      <c r="D23" s="339" t="s">
        <v>28</v>
      </c>
      <c r="N23" s="268">
        <f>SUM(N1:N22)</f>
        <v>104.38</v>
      </c>
    </row>
    <row r="25" spans="1:14" ht="30" customHeight="1">
      <c r="A25" s="338" t="str">
        <f>'PLANILHA ORÇAMENTÁRIA'!B19</f>
        <v>1.5</v>
      </c>
      <c r="B25" s="341">
        <f>'PLANILHA ORÇAMENTÁRIA'!C19</f>
        <v>99059</v>
      </c>
      <c r="C25" s="343" t="str">
        <f>'PLANILHA ORÇAMENTÁRIA'!D19</f>
        <v>SINAPI</v>
      </c>
      <c r="D25" s="366" t="str">
        <f>'PLANILHA ORÇAMENTÁRIA'!E19</f>
        <v>Locação convencional de obra, utilizando gabarito de tábua corridas pontaletadas a acada 2,00 metros</v>
      </c>
      <c r="E25" s="366"/>
      <c r="F25" s="366"/>
      <c r="G25" s="366"/>
      <c r="H25" s="366"/>
    </row>
    <row r="26" spans="1:14">
      <c r="A26" s="367" t="s">
        <v>1065</v>
      </c>
      <c r="B26" s="367"/>
      <c r="C26" s="343">
        <v>141.78</v>
      </c>
      <c r="D26" s="339" t="s">
        <v>28</v>
      </c>
    </row>
    <row r="28" spans="1:14" ht="124.2" hidden="1">
      <c r="A28" s="338" t="str">
        <f>'PLANILHA ORÇAMENTÁRIA'!B23</f>
        <v>2.1</v>
      </c>
      <c r="B28" s="341">
        <f>'PLANILHA ORÇAMENTÁRIA'!C23</f>
        <v>97627</v>
      </c>
      <c r="C28" s="343" t="str">
        <f>'PLANILHA ORÇAMENTÁRIA'!D23</f>
        <v>SINAPI</v>
      </c>
      <c r="D28" s="339" t="str">
        <f>'PLANILHA ORÇAMENTÁRIA'!E23</f>
        <v xml:space="preserve">Demolicao manual concreto armado (pilar / viga / laje) - incl empilhacao lateral no canteiro                                                                                                            </v>
      </c>
    </row>
    <row r="29" spans="1:14" hidden="1"/>
    <row r="30" spans="1:14" hidden="1"/>
    <row r="31" spans="1:14" hidden="1"/>
    <row r="32" spans="1:14" hidden="1"/>
    <row r="33" spans="1:4" hidden="1"/>
    <row r="34" spans="1:4" ht="124.2" hidden="1">
      <c r="A34" s="338" t="str">
        <f>'PLANILHA ORÇAMENTÁRIA'!B24</f>
        <v>2.2</v>
      </c>
      <c r="B34" s="341">
        <f>'PLANILHA ORÇAMENTÁRIA'!C24</f>
        <v>97622</v>
      </c>
      <c r="C34" s="343" t="str">
        <f>'PLANILHA ORÇAMENTÁRIA'!D24</f>
        <v>SINAPI</v>
      </c>
      <c r="D34" s="339" t="str">
        <f>'PLANILHA ORÇAMENTÁRIA'!E24</f>
        <v xml:space="preserve">Demolicao de alvenaria de tijolos furados s/reaproveitamentoao lateral no canteiro                                                                                                                      </v>
      </c>
    </row>
    <row r="35" spans="1:4" hidden="1"/>
    <row r="36" spans="1:4" hidden="1"/>
    <row r="37" spans="1:4" hidden="1"/>
    <row r="38" spans="1:4" hidden="1"/>
    <row r="39" spans="1:4" hidden="1"/>
    <row r="40" spans="1:4" ht="27.6" hidden="1">
      <c r="A40" s="338" t="str">
        <f>'PLANILHA ORÇAMENTÁRIA'!B25</f>
        <v>2.3</v>
      </c>
      <c r="B40" s="341">
        <f>'PLANILHA ORÇAMENTÁRIA'!C25</f>
        <v>97640</v>
      </c>
      <c r="C40" s="343" t="str">
        <f>'PLANILHA ORÇAMENTÁRIA'!D25</f>
        <v>SINAPI</v>
      </c>
      <c r="D40" s="339" t="str">
        <f>'PLANILHA ORÇAMENTÁRIA'!E25</f>
        <v xml:space="preserve">Demolicao de forro                                                                                                                                                                          </v>
      </c>
    </row>
    <row r="41" spans="1:4" hidden="1"/>
    <row r="42" spans="1:4" hidden="1"/>
    <row r="43" spans="1:4" hidden="1"/>
    <row r="44" spans="1:4" hidden="1"/>
    <row r="45" spans="1:4" hidden="1"/>
    <row r="46" spans="1:4" ht="96.6" hidden="1">
      <c r="A46" s="338" t="str">
        <f>'PLANILHA ORÇAMENTÁRIA'!B26</f>
        <v>2.4</v>
      </c>
      <c r="B46" s="341">
        <f>'PLANILHA ORÇAMENTÁRIA'!C26</f>
        <v>97634</v>
      </c>
      <c r="C46" s="343" t="str">
        <f>'PLANILHA ORÇAMENTÁRIA'!D26</f>
        <v>SINAPI</v>
      </c>
      <c r="D46" s="339" t="str">
        <f>'PLANILHA ORÇAMENTÁRIA'!E26</f>
        <v xml:space="preserve">Remocao de azulejo e substrato de aderencia em argamassa                                                                                                                                                </v>
      </c>
    </row>
    <row r="47" spans="1:4" hidden="1"/>
    <row r="48" spans="1:4" hidden="1"/>
    <row r="49" spans="1:8" hidden="1"/>
    <row r="50" spans="1:8" hidden="1"/>
    <row r="51" spans="1:8" hidden="1"/>
    <row r="52" spans="1:8" ht="41.4" hidden="1">
      <c r="A52" s="338" t="str">
        <f>'PLANILHA ORÇAMENTÁRIA'!B27</f>
        <v>2.5</v>
      </c>
      <c r="B52" s="341">
        <f>'PLANILHA ORÇAMENTÁRIA'!C27</f>
        <v>97647</v>
      </c>
      <c r="C52" s="343" t="str">
        <f>'PLANILHA ORÇAMENTÁRIA'!D27</f>
        <v>SINAPI</v>
      </c>
      <c r="D52" s="339" t="str">
        <f>'PLANILHA ORÇAMENTÁRIA'!E27</f>
        <v xml:space="preserve">Retirada de telhas onduladas                                                                                                                                                                            </v>
      </c>
    </row>
    <row r="53" spans="1:8" hidden="1"/>
    <row r="54" spans="1:8" hidden="1"/>
    <row r="55" spans="1:8" hidden="1"/>
    <row r="56" spans="1:8" hidden="1"/>
    <row r="57" spans="1:8" ht="179.4" hidden="1">
      <c r="A57" s="338" t="str">
        <f>'PLANILHA ORÇAMENTÁRIA'!B28</f>
        <v>2.6</v>
      </c>
      <c r="B57" s="341">
        <f>'PLANILHA ORÇAMENTÁRIA'!C28</f>
        <v>72899</v>
      </c>
      <c r="C57" s="343" t="str">
        <f>'PLANILHA ORÇAMENTÁRIA'!D28</f>
        <v>SINAPI</v>
      </c>
      <c r="D57" s="339" t="str">
        <f>'PLANILHA ORÇAMENTÁRIA'!E28</f>
        <v>TRANSPORTE DE ENTULHO COM CAMINHÃO BASCULANTE 6 M3, RODOVIA PAVIMENTADA, DMT ATE 0,5 KM</v>
      </c>
    </row>
    <row r="58" spans="1:8" hidden="1">
      <c r="A58" s="338">
        <f>'PLANILHA ORÇAMENTÁRIA'!B29</f>
        <v>0</v>
      </c>
      <c r="B58" s="341">
        <f>'PLANILHA ORÇAMENTÁRIA'!C29</f>
        <v>0</v>
      </c>
      <c r="C58" s="343">
        <f>'PLANILHA ORÇAMENTÁRIA'!D29</f>
        <v>0</v>
      </c>
      <c r="D58" s="339">
        <f>'PLANILHA ORÇAMENTÁRIA'!E29</f>
        <v>0</v>
      </c>
    </row>
    <row r="59" spans="1:8" hidden="1"/>
    <row r="60" spans="1:8" hidden="1"/>
    <row r="61" spans="1:8" hidden="1">
      <c r="A61" s="338">
        <f>'PLANILHA ORÇAMENTÁRIA'!B30</f>
        <v>0</v>
      </c>
      <c r="B61" s="341">
        <f>'PLANILHA ORÇAMENTÁRIA'!C30</f>
        <v>0</v>
      </c>
      <c r="C61" s="343">
        <f>'PLANILHA ORÇAMENTÁRIA'!D30</f>
        <v>0</v>
      </c>
      <c r="D61" s="339">
        <f>'PLANILHA ORÇAMENTÁRIA'!E30</f>
        <v>0</v>
      </c>
    </row>
    <row r="62" spans="1:8" ht="30" customHeight="1">
      <c r="A62" s="338" t="str">
        <f>'PLANILHA ORÇAMENTÁRIA'!B32</f>
        <v>3.1</v>
      </c>
      <c r="B62" s="341">
        <f>'PLANILHA ORÇAMENTÁRIA'!C32</f>
        <v>368</v>
      </c>
      <c r="C62" s="343" t="str">
        <f>'PLANILHA ORÇAMENTÁRIA'!D32</f>
        <v>SINAPI</v>
      </c>
      <c r="D62" s="366" t="str">
        <f>'PLANILHA ORÇAMENTÁRIA'!E32</f>
        <v>Areia para aterro - Posto Jazida/Fornecedor (retirado na jazida, sem transporte)</v>
      </c>
      <c r="E62" s="366"/>
      <c r="F62" s="366"/>
      <c r="G62" s="366"/>
      <c r="H62" s="366"/>
    </row>
    <row r="63" spans="1:8">
      <c r="A63" s="367" t="s">
        <v>1057</v>
      </c>
      <c r="B63" s="367"/>
      <c r="C63" s="343">
        <v>141.78</v>
      </c>
      <c r="D63" s="339" t="s">
        <v>28</v>
      </c>
    </row>
    <row r="64" spans="1:8">
      <c r="A64" s="367" t="s">
        <v>1056</v>
      </c>
      <c r="B64" s="367"/>
      <c r="C64" s="343">
        <v>0.3</v>
      </c>
      <c r="D64" s="339" t="s">
        <v>32</v>
      </c>
    </row>
    <row r="65" spans="1:8">
      <c r="A65" s="367" t="s">
        <v>1066</v>
      </c>
      <c r="B65" s="367"/>
      <c r="C65" s="343">
        <f>C64*C63</f>
        <v>42.533999999999999</v>
      </c>
      <c r="D65" s="339" t="s">
        <v>26</v>
      </c>
    </row>
    <row r="67" spans="1:8" ht="30" customHeight="1">
      <c r="A67" s="338" t="str">
        <f>'PLANILHA ORÇAMENTÁRIA'!B33</f>
        <v>3.2</v>
      </c>
      <c r="B67" s="341">
        <f>'PLANILHA ORÇAMENTÁRIA'!C33</f>
        <v>97912</v>
      </c>
      <c r="C67" s="343" t="str">
        <f>'PLANILHA ORÇAMENTÁRIA'!D33</f>
        <v>SINAPI</v>
      </c>
      <c r="D67" s="366" t="str">
        <f>'PLANILHA ORÇAMENTÁRIA'!E33</f>
        <v>Transporte com caminhão basculante de 6 m³, em via urbana em leito naturak (unidae : m³ x km) - DMT 10 Km</v>
      </c>
      <c r="E67" s="366"/>
      <c r="F67" s="366"/>
      <c r="G67" s="366"/>
      <c r="H67" s="366"/>
    </row>
    <row r="68" spans="1:8">
      <c r="A68" s="367" t="s">
        <v>1066</v>
      </c>
      <c r="B68" s="367"/>
      <c r="C68" s="343">
        <f>C65</f>
        <v>42.533999999999999</v>
      </c>
      <c r="D68" s="339" t="s">
        <v>28</v>
      </c>
    </row>
    <row r="69" spans="1:8">
      <c r="A69" s="367" t="s">
        <v>1067</v>
      </c>
      <c r="B69" s="367"/>
      <c r="C69" s="343">
        <v>20</v>
      </c>
      <c r="D69" s="339" t="s">
        <v>1069</v>
      </c>
    </row>
    <row r="70" spans="1:8">
      <c r="A70" s="367" t="s">
        <v>1066</v>
      </c>
      <c r="B70" s="367"/>
      <c r="C70" s="343">
        <f>C69*C68*1.3</f>
        <v>1105.884</v>
      </c>
      <c r="D70" s="339" t="s">
        <v>1068</v>
      </c>
    </row>
    <row r="72" spans="1:8" ht="30" customHeight="1">
      <c r="A72" s="338" t="str">
        <f>'PLANILHA ORÇAMENTÁRIA'!B34</f>
        <v>3.3</v>
      </c>
      <c r="B72" s="341">
        <f>'PLANILHA ORÇAMENTÁRIA'!C34</f>
        <v>96527</v>
      </c>
      <c r="C72" s="343" t="str">
        <f>'PLANILHA ORÇAMENTÁRIA'!D34</f>
        <v>SINAPI</v>
      </c>
      <c r="D72" s="366" t="str">
        <f>'PLANILHA ORÇAMENTÁRIA'!E34</f>
        <v>Escavação manual de valas em qualquer terreno exceto rocha até h= 2,0m</v>
      </c>
      <c r="E72" s="366"/>
      <c r="F72" s="366"/>
      <c r="G72" s="366"/>
      <c r="H72" s="366"/>
    </row>
    <row r="73" spans="1:8">
      <c r="A73" s="367" t="s">
        <v>1070</v>
      </c>
      <c r="B73" s="367"/>
      <c r="C73" s="343">
        <v>104.38</v>
      </c>
      <c r="D73" s="339" t="s">
        <v>32</v>
      </c>
    </row>
    <row r="74" spans="1:8">
      <c r="A74" s="367" t="s">
        <v>1071</v>
      </c>
      <c r="B74" s="367"/>
      <c r="C74" s="343">
        <v>0.6</v>
      </c>
      <c r="D74" s="339" t="s">
        <v>32</v>
      </c>
    </row>
    <row r="75" spans="1:8">
      <c r="A75" s="367" t="s">
        <v>1056</v>
      </c>
      <c r="B75" s="367"/>
      <c r="C75" s="343">
        <v>0.4</v>
      </c>
      <c r="D75" s="339" t="s">
        <v>32</v>
      </c>
    </row>
    <row r="76" spans="1:8">
      <c r="A76" s="367" t="s">
        <v>1066</v>
      </c>
      <c r="B76" s="367"/>
      <c r="C76" s="343">
        <f>C75*C74*C73</f>
        <v>25.051199999999998</v>
      </c>
      <c r="D76" s="339" t="s">
        <v>26</v>
      </c>
    </row>
    <row r="78" spans="1:8">
      <c r="A78" s="367" t="s">
        <v>1076</v>
      </c>
      <c r="B78" s="367"/>
      <c r="C78" s="343">
        <v>22</v>
      </c>
      <c r="D78" s="339" t="s">
        <v>322</v>
      </c>
    </row>
    <row r="79" spans="1:8">
      <c r="A79" s="367" t="s">
        <v>1071</v>
      </c>
      <c r="B79" s="367"/>
      <c r="C79" s="343">
        <v>0.8</v>
      </c>
      <c r="D79" s="339" t="s">
        <v>32</v>
      </c>
    </row>
    <row r="80" spans="1:8">
      <c r="A80" s="367" t="s">
        <v>1055</v>
      </c>
      <c r="B80" s="367"/>
      <c r="C80" s="343">
        <v>0.8</v>
      </c>
      <c r="D80" s="339" t="s">
        <v>32</v>
      </c>
    </row>
    <row r="81" spans="1:8">
      <c r="A81" s="367" t="s">
        <v>1074</v>
      </c>
      <c r="B81" s="367"/>
      <c r="C81" s="343">
        <v>0.4</v>
      </c>
      <c r="D81" s="339" t="s">
        <v>32</v>
      </c>
    </row>
    <row r="82" spans="1:8">
      <c r="A82" s="367" t="s">
        <v>1062</v>
      </c>
      <c r="B82" s="367"/>
      <c r="C82" s="343">
        <f>C81*C80*C79*C78</f>
        <v>5.6320000000000014</v>
      </c>
      <c r="D82" s="339" t="s">
        <v>26</v>
      </c>
    </row>
    <row r="84" spans="1:8">
      <c r="A84" s="367" t="s">
        <v>1077</v>
      </c>
      <c r="B84" s="367"/>
      <c r="C84" s="343">
        <f>C82+C76</f>
        <v>30.683199999999999</v>
      </c>
      <c r="D84" s="339" t="s">
        <v>26</v>
      </c>
    </row>
    <row r="86" spans="1:8" ht="30" customHeight="1">
      <c r="A86" s="338" t="str">
        <f>'PLANILHA ORÇAMENTÁRIA'!B35</f>
        <v>3.4</v>
      </c>
      <c r="B86" s="341">
        <f>'PLANILHA ORÇAMENTÁRIA'!C35</f>
        <v>101616</v>
      </c>
      <c r="C86" s="343" t="str">
        <f>'PLANILHA ORÇAMENTÁRIA'!D35</f>
        <v>SINAPI</v>
      </c>
      <c r="D86" s="366" t="str">
        <f>'PLANILHA ORÇAMENTÁRIA'!E35</f>
        <v>Regularização e compactação do fundo de valas</v>
      </c>
      <c r="E86" s="366"/>
      <c r="F86" s="366"/>
      <c r="G86" s="366"/>
      <c r="H86" s="366"/>
    </row>
    <row r="87" spans="1:8">
      <c r="A87" s="367" t="s">
        <v>1070</v>
      </c>
      <c r="B87" s="367"/>
      <c r="C87" s="343">
        <v>104.38</v>
      </c>
      <c r="D87" s="339" t="s">
        <v>32</v>
      </c>
    </row>
    <row r="88" spans="1:8">
      <c r="A88" s="367" t="s">
        <v>1071</v>
      </c>
      <c r="B88" s="367"/>
      <c r="C88" s="343">
        <v>0.6</v>
      </c>
      <c r="D88" s="339" t="s">
        <v>32</v>
      </c>
    </row>
    <row r="89" spans="1:8">
      <c r="A89" s="367" t="s">
        <v>1057</v>
      </c>
      <c r="B89" s="367"/>
      <c r="C89" s="343">
        <f>C88*C87</f>
        <v>62.627999999999993</v>
      </c>
      <c r="D89" s="339" t="s">
        <v>28</v>
      </c>
    </row>
    <row r="91" spans="1:8">
      <c r="A91" s="367" t="s">
        <v>1076</v>
      </c>
      <c r="B91" s="367"/>
      <c r="C91" s="343">
        <v>22</v>
      </c>
      <c r="D91" s="339" t="s">
        <v>322</v>
      </c>
    </row>
    <row r="92" spans="1:8">
      <c r="A92" s="367" t="s">
        <v>1071</v>
      </c>
      <c r="B92" s="367"/>
      <c r="C92" s="343">
        <v>0.8</v>
      </c>
      <c r="D92" s="339" t="s">
        <v>32</v>
      </c>
    </row>
    <row r="93" spans="1:8">
      <c r="A93" s="367" t="s">
        <v>1055</v>
      </c>
      <c r="B93" s="367"/>
      <c r="C93" s="343">
        <v>0.8</v>
      </c>
      <c r="D93" s="339" t="s">
        <v>32</v>
      </c>
    </row>
    <row r="94" spans="1:8">
      <c r="A94" s="367" t="s">
        <v>1062</v>
      </c>
      <c r="B94" s="367"/>
      <c r="C94" s="343">
        <f>C93*C92*C91</f>
        <v>14.080000000000002</v>
      </c>
      <c r="D94" s="339" t="s">
        <v>28</v>
      </c>
    </row>
    <row r="96" spans="1:8">
      <c r="A96" s="367" t="s">
        <v>1077</v>
      </c>
      <c r="B96" s="367"/>
      <c r="C96" s="343">
        <f>C94+C89</f>
        <v>76.707999999999998</v>
      </c>
      <c r="D96" s="339" t="s">
        <v>28</v>
      </c>
    </row>
    <row r="98" spans="1:8" ht="30" customHeight="1">
      <c r="A98" s="338" t="str">
        <f>'PLANILHA ORÇAMENTÁRIA'!B36</f>
        <v>3.5</v>
      </c>
      <c r="B98" s="341">
        <f>'PLANILHA ORÇAMENTÁRIA'!C36</f>
        <v>93360</v>
      </c>
      <c r="C98" s="343" t="str">
        <f>'PLANILHA ORÇAMENTÁRIA'!D36</f>
        <v>SINAPI</v>
      </c>
      <c r="D98" s="366" t="str">
        <f>'PLANILHA ORÇAMENTÁRIA'!E36</f>
        <v>Reaterro apiloado de vala com material da obra</v>
      </c>
      <c r="E98" s="366"/>
      <c r="F98" s="366"/>
      <c r="G98" s="366"/>
      <c r="H98" s="366"/>
    </row>
    <row r="99" spans="1:8">
      <c r="A99" s="367" t="s">
        <v>1070</v>
      </c>
      <c r="B99" s="367"/>
      <c r="C99" s="343">
        <v>104.38</v>
      </c>
      <c r="D99" s="339" t="s">
        <v>32</v>
      </c>
    </row>
    <row r="100" spans="1:8">
      <c r="A100" s="367" t="s">
        <v>1071</v>
      </c>
      <c r="B100" s="367"/>
      <c r="C100" s="343">
        <v>0.4</v>
      </c>
      <c r="D100" s="339" t="s">
        <v>32</v>
      </c>
    </row>
    <row r="101" spans="1:8">
      <c r="A101" s="367" t="s">
        <v>1056</v>
      </c>
      <c r="B101" s="367"/>
      <c r="C101" s="343">
        <v>0.4</v>
      </c>
      <c r="D101" s="339" t="s">
        <v>32</v>
      </c>
    </row>
    <row r="102" spans="1:8">
      <c r="A102" s="367" t="s">
        <v>1066</v>
      </c>
      <c r="B102" s="367"/>
      <c r="C102" s="343">
        <f>C101*C100*C99</f>
        <v>16.700800000000001</v>
      </c>
      <c r="D102" s="339" t="s">
        <v>26</v>
      </c>
    </row>
    <row r="104" spans="1:8">
      <c r="A104" s="367" t="s">
        <v>1076</v>
      </c>
      <c r="B104" s="367"/>
      <c r="C104" s="343">
        <v>22</v>
      </c>
      <c r="D104" s="339" t="s">
        <v>322</v>
      </c>
    </row>
    <row r="105" spans="1:8">
      <c r="A105" s="367" t="s">
        <v>1071</v>
      </c>
      <c r="B105" s="367"/>
      <c r="C105" s="343">
        <v>0.8</v>
      </c>
      <c r="D105" s="339" t="s">
        <v>32</v>
      </c>
    </row>
    <row r="106" spans="1:8">
      <c r="A106" s="367" t="s">
        <v>1055</v>
      </c>
      <c r="B106" s="367"/>
      <c r="C106" s="343">
        <v>0.8</v>
      </c>
      <c r="D106" s="339" t="s">
        <v>32</v>
      </c>
    </row>
    <row r="107" spans="1:8">
      <c r="A107" s="367" t="s">
        <v>1074</v>
      </c>
      <c r="B107" s="367"/>
      <c r="C107" s="343">
        <v>0.4</v>
      </c>
      <c r="D107" s="339" t="s">
        <v>32</v>
      </c>
    </row>
    <row r="108" spans="1:8">
      <c r="A108" s="367" t="s">
        <v>1062</v>
      </c>
      <c r="B108" s="367"/>
      <c r="C108" s="343">
        <f>C107*C106*C105*C104</f>
        <v>5.6320000000000014</v>
      </c>
      <c r="D108" s="339" t="s">
        <v>26</v>
      </c>
    </row>
    <row r="110" spans="1:8">
      <c r="A110" s="367" t="s">
        <v>1077</v>
      </c>
      <c r="B110" s="367"/>
      <c r="C110" s="343">
        <f>C108+C102</f>
        <v>22.332800000000002</v>
      </c>
      <c r="D110" s="339" t="s">
        <v>26</v>
      </c>
    </row>
    <row r="112" spans="1:8" ht="48.6" customHeight="1">
      <c r="A112" s="338" t="str">
        <f>'PLANILHA ORÇAMENTÁRIA'!B41</f>
        <v>4.1.1</v>
      </c>
      <c r="B112" s="341">
        <f>'PLANILHA ORÇAMENTÁRIA'!C41</f>
        <v>101175</v>
      </c>
      <c r="C112" s="343" t="str">
        <f>'PLANILHA ORÇAMENTÁRIA'!D41</f>
        <v>SINAPI</v>
      </c>
      <c r="D112" s="366" t="str">
        <f>'PLANILHA ORÇAMENTÁRIA'!E41</f>
        <v>Estaca broca de concreto, diâmtro de 30 cm, profundidade de até 3m, escavação manual com trado concha, não armada.</v>
      </c>
      <c r="E112" s="366"/>
      <c r="F112" s="366"/>
      <c r="G112" s="366"/>
      <c r="H112" s="366"/>
    </row>
    <row r="113" spans="1:8">
      <c r="A113" s="367" t="s">
        <v>1073</v>
      </c>
      <c r="B113" s="367"/>
      <c r="C113" s="343">
        <v>22</v>
      </c>
      <c r="D113" s="339" t="s">
        <v>322</v>
      </c>
    </row>
    <row r="114" spans="1:8">
      <c r="A114" s="367" t="s">
        <v>1074</v>
      </c>
      <c r="B114" s="367"/>
      <c r="C114" s="343">
        <v>6</v>
      </c>
      <c r="D114" s="339" t="s">
        <v>32</v>
      </c>
    </row>
    <row r="115" spans="1:8">
      <c r="A115" s="367" t="s">
        <v>1062</v>
      </c>
      <c r="B115" s="367"/>
      <c r="C115" s="343">
        <f>C114*C113</f>
        <v>132</v>
      </c>
      <c r="D115" s="339" t="s">
        <v>32</v>
      </c>
    </row>
    <row r="117" spans="1:8" ht="49.2" customHeight="1">
      <c r="A117" s="338" t="str">
        <f>'PLANILHA ORÇAMENTÁRIA'!B42</f>
        <v>4.1.2</v>
      </c>
      <c r="B117" s="341">
        <f>'PLANILHA ORÇAMENTÁRIA'!C42</f>
        <v>92718</v>
      </c>
      <c r="C117" s="343" t="str">
        <f>'PLANILHA ORÇAMENTÁRIA'!D42</f>
        <v>SINAPI</v>
      </c>
      <c r="D117" s="366" t="str">
        <f>'PLANILHA ORÇAMENTÁRIA'!E42</f>
        <v>Concretagem de blocos, Fck = 25 MPA, com uso de baldes em edificações com seção média de pilares menor ou igual a 0,25 m2 - lançamento, adensamento e acabamento</v>
      </c>
      <c r="E117" s="366"/>
      <c r="F117" s="366"/>
      <c r="G117" s="366"/>
      <c r="H117" s="366"/>
    </row>
    <row r="118" spans="1:8">
      <c r="A118" s="367" t="s">
        <v>1076</v>
      </c>
      <c r="B118" s="367"/>
      <c r="C118" s="343">
        <v>22</v>
      </c>
      <c r="D118" s="339" t="s">
        <v>322</v>
      </c>
    </row>
    <row r="119" spans="1:8">
      <c r="A119" s="367" t="s">
        <v>1071</v>
      </c>
      <c r="B119" s="367"/>
      <c r="C119" s="343">
        <v>0.4</v>
      </c>
      <c r="D119" s="339" t="s">
        <v>32</v>
      </c>
    </row>
    <row r="120" spans="1:8">
      <c r="A120" s="367" t="s">
        <v>1055</v>
      </c>
      <c r="B120" s="367"/>
      <c r="C120" s="343">
        <v>0.4</v>
      </c>
      <c r="D120" s="339" t="s">
        <v>32</v>
      </c>
    </row>
    <row r="121" spans="1:8">
      <c r="A121" s="367" t="s">
        <v>1074</v>
      </c>
      <c r="B121" s="367"/>
      <c r="C121" s="343">
        <v>0.4</v>
      </c>
      <c r="D121" s="339" t="s">
        <v>32</v>
      </c>
    </row>
    <row r="122" spans="1:8">
      <c r="A122" s="367" t="s">
        <v>1062</v>
      </c>
      <c r="B122" s="367"/>
      <c r="C122" s="343">
        <f>C121*C120*C119*C118</f>
        <v>1.4080000000000004</v>
      </c>
      <c r="D122" s="339" t="s">
        <v>26</v>
      </c>
    </row>
    <row r="124" spans="1:8" ht="32.4" customHeight="1">
      <c r="A124" s="338" t="str">
        <f>'PLANILHA ORÇAMENTÁRIA'!B43</f>
        <v>4.1.3</v>
      </c>
      <c r="B124" s="341">
        <f>'PLANILHA ORÇAMENTÁRIA'!C43</f>
        <v>96544</v>
      </c>
      <c r="C124" s="343" t="str">
        <f>'PLANILHA ORÇAMENTÁRIA'!D43</f>
        <v>SINAPI</v>
      </c>
      <c r="D124" s="366" t="str">
        <f>'PLANILHA ORÇAMENTÁRIA'!E43</f>
        <v>ARMAÇÃO DE BLOCO, VIGA BALDRAME OU SAPATA UTILIZANDO AÇO CA-50 DE 6,3MM</v>
      </c>
      <c r="E124" s="366"/>
      <c r="F124" s="366"/>
      <c r="G124" s="366"/>
      <c r="H124" s="366"/>
    </row>
    <row r="125" spans="1:8">
      <c r="A125" s="367" t="s">
        <v>1076</v>
      </c>
      <c r="B125" s="367"/>
      <c r="C125" s="343">
        <v>22</v>
      </c>
      <c r="D125" s="339" t="s">
        <v>322</v>
      </c>
    </row>
    <row r="126" spans="1:8">
      <c r="A126" s="367" t="s">
        <v>1078</v>
      </c>
      <c r="B126" s="367"/>
      <c r="C126" s="343">
        <v>0</v>
      </c>
      <c r="D126" s="339" t="s">
        <v>32</v>
      </c>
    </row>
    <row r="127" spans="1:8">
      <c r="A127" s="367" t="s">
        <v>1079</v>
      </c>
      <c r="B127" s="367"/>
      <c r="C127" s="343">
        <f>(0.4*4+0.1)*3</f>
        <v>5.1000000000000005</v>
      </c>
      <c r="D127" s="339" t="s">
        <v>32</v>
      </c>
    </row>
    <row r="128" spans="1:8">
      <c r="A128" s="367" t="s">
        <v>1062</v>
      </c>
      <c r="B128" s="367"/>
      <c r="C128" s="343">
        <f>(C127+C126)*C125</f>
        <v>112.20000000000002</v>
      </c>
      <c r="D128" s="339" t="s">
        <v>32</v>
      </c>
    </row>
    <row r="129" spans="1:8">
      <c r="A129" s="367" t="s">
        <v>1080</v>
      </c>
      <c r="B129" s="367"/>
      <c r="C129" s="343">
        <v>0.245</v>
      </c>
      <c r="D129" s="339" t="s">
        <v>30</v>
      </c>
    </row>
    <row r="130" spans="1:8">
      <c r="A130" s="367" t="s">
        <v>1081</v>
      </c>
      <c r="B130" s="367"/>
      <c r="C130" s="343">
        <f>C129*C128*1.15</f>
        <v>31.612350000000003</v>
      </c>
      <c r="D130" s="339" t="s">
        <v>30</v>
      </c>
    </row>
    <row r="132" spans="1:8">
      <c r="A132" s="338" t="str">
        <f>'PLANILHA ORÇAMENTÁRIA'!B44</f>
        <v>4.1.4</v>
      </c>
      <c r="B132" s="341">
        <f>'PLANILHA ORÇAMENTÁRIA'!C44</f>
        <v>96546</v>
      </c>
      <c r="C132" s="343" t="str">
        <f>'PLANILHA ORÇAMENTÁRIA'!D44</f>
        <v>SINAPI</v>
      </c>
      <c r="D132" s="369" t="str">
        <f>'PLANILHA ORÇAMENTÁRIA'!E44</f>
        <v>ARMAÇÃO DE BLOCO, VIGA BALDRAME OU SAPATA UTILIZANDO AÇO CA-50 DE 10 MM</v>
      </c>
      <c r="E132" s="369"/>
      <c r="F132" s="369"/>
      <c r="G132" s="369"/>
      <c r="H132" s="369"/>
    </row>
    <row r="133" spans="1:8">
      <c r="A133" s="367" t="s">
        <v>1076</v>
      </c>
      <c r="B133" s="367"/>
      <c r="C133" s="343">
        <v>22</v>
      </c>
      <c r="D133" s="339" t="s">
        <v>322</v>
      </c>
    </row>
    <row r="134" spans="1:8">
      <c r="A134" s="367" t="s">
        <v>1090</v>
      </c>
      <c r="B134" s="367"/>
      <c r="C134" s="343">
        <f>(0.4*4+0.1)*6</f>
        <v>10.200000000000001</v>
      </c>
      <c r="D134" s="339" t="s">
        <v>32</v>
      </c>
    </row>
    <row r="135" spans="1:8">
      <c r="A135" s="367" t="s">
        <v>1079</v>
      </c>
      <c r="B135" s="367"/>
      <c r="C135" s="343">
        <v>0</v>
      </c>
      <c r="D135" s="339" t="s">
        <v>32</v>
      </c>
    </row>
    <row r="136" spans="1:8">
      <c r="A136" s="367" t="s">
        <v>1062</v>
      </c>
      <c r="B136" s="367"/>
      <c r="C136" s="343">
        <f>(C135+C134)*C133</f>
        <v>224.40000000000003</v>
      </c>
      <c r="D136" s="339" t="s">
        <v>32</v>
      </c>
    </row>
    <row r="137" spans="1:8">
      <c r="A137" s="367" t="s">
        <v>1080</v>
      </c>
      <c r="B137" s="367"/>
      <c r="C137" s="343">
        <v>0.61699999999999999</v>
      </c>
      <c r="D137" s="339" t="s">
        <v>30</v>
      </c>
    </row>
    <row r="138" spans="1:8">
      <c r="A138" s="367" t="s">
        <v>1081</v>
      </c>
      <c r="B138" s="367"/>
      <c r="C138" s="343">
        <f>C137*C136*1.15</f>
        <v>159.22301999999999</v>
      </c>
      <c r="D138" s="339" t="s">
        <v>30</v>
      </c>
    </row>
    <row r="140" spans="1:8">
      <c r="A140" s="338" t="str">
        <f>'PLANILHA ORÇAMENTÁRIA'!B45</f>
        <v>4.1.5</v>
      </c>
      <c r="B140" s="341">
        <f>'PLANILHA ORÇAMENTÁRIA'!C45</f>
        <v>95241</v>
      </c>
      <c r="C140" s="343" t="str">
        <f>'PLANILHA ORÇAMENTÁRIA'!D45</f>
        <v>SINAPI</v>
      </c>
      <c r="D140" s="366" t="str">
        <f>'PLANILHA ORÇAMENTÁRIA'!E45</f>
        <v>Lastro de concreto não-estrutural, espessura 5cm</v>
      </c>
      <c r="E140" s="366"/>
      <c r="F140" s="366"/>
      <c r="G140" s="366"/>
      <c r="H140" s="366"/>
    </row>
    <row r="141" spans="1:8">
      <c r="A141" s="367" t="s">
        <v>1076</v>
      </c>
      <c r="B141" s="367"/>
      <c r="C141" s="343">
        <v>22</v>
      </c>
      <c r="D141" s="339" t="s">
        <v>322</v>
      </c>
    </row>
    <row r="142" spans="1:8">
      <c r="A142" s="367" t="s">
        <v>1071</v>
      </c>
      <c r="B142" s="367"/>
      <c r="C142" s="343">
        <v>0.4</v>
      </c>
      <c r="D142" s="339" t="s">
        <v>32</v>
      </c>
    </row>
    <row r="143" spans="1:8">
      <c r="A143" s="367" t="s">
        <v>1055</v>
      </c>
      <c r="B143" s="367"/>
      <c r="C143" s="343">
        <v>0.4</v>
      </c>
      <c r="D143" s="339" t="s">
        <v>32</v>
      </c>
    </row>
    <row r="144" spans="1:8">
      <c r="A144" s="367" t="s">
        <v>1074</v>
      </c>
      <c r="B144" s="367"/>
      <c r="C144" s="343">
        <v>0.05</v>
      </c>
      <c r="D144" s="339" t="s">
        <v>32</v>
      </c>
    </row>
    <row r="145" spans="1:8">
      <c r="A145" s="367" t="s">
        <v>1062</v>
      </c>
      <c r="B145" s="367"/>
      <c r="C145" s="343">
        <f>C144*C143*C142*C141</f>
        <v>0.17600000000000005</v>
      </c>
      <c r="D145" s="339" t="s">
        <v>26</v>
      </c>
    </row>
    <row r="147" spans="1:8" ht="30.6" customHeight="1">
      <c r="A147" s="338" t="str">
        <f>'PLANILHA ORÇAMENTÁRIA'!B46</f>
        <v>4.1.6</v>
      </c>
      <c r="B147" s="341">
        <f>'PLANILHA ORÇAMENTÁRIA'!C46</f>
        <v>96528</v>
      </c>
      <c r="C147" s="343" t="str">
        <f>'PLANILHA ORÇAMENTÁRIA'!D46</f>
        <v>SINAPI</v>
      </c>
      <c r="D147" s="366" t="str">
        <f>'PLANILHA ORÇAMENTÁRIA'!E46</f>
        <v>Montagem e desmontagem de forma, em chapa de madeira compensada plastificada com reaproveitamento</v>
      </c>
      <c r="E147" s="366"/>
      <c r="F147" s="366"/>
      <c r="G147" s="366"/>
      <c r="H147" s="366"/>
    </row>
    <row r="148" spans="1:8">
      <c r="A148" s="367" t="s">
        <v>1076</v>
      </c>
      <c r="B148" s="367"/>
      <c r="C148" s="343">
        <v>22</v>
      </c>
      <c r="D148" s="339" t="s">
        <v>322</v>
      </c>
    </row>
    <row r="149" spans="1:8">
      <c r="A149" s="367" t="s">
        <v>1071</v>
      </c>
      <c r="B149" s="367"/>
      <c r="C149" s="343">
        <v>0.4</v>
      </c>
      <c r="D149" s="339" t="s">
        <v>32</v>
      </c>
    </row>
    <row r="150" spans="1:8">
      <c r="A150" s="367" t="s">
        <v>1055</v>
      </c>
      <c r="B150" s="367"/>
      <c r="C150" s="343">
        <v>0.4</v>
      </c>
      <c r="D150" s="339" t="s">
        <v>32</v>
      </c>
    </row>
    <row r="151" spans="1:8">
      <c r="A151" s="367" t="s">
        <v>1074</v>
      </c>
      <c r="B151" s="367"/>
      <c r="C151" s="343">
        <v>0.4</v>
      </c>
      <c r="D151" s="339" t="s">
        <v>32</v>
      </c>
    </row>
    <row r="152" spans="1:8">
      <c r="A152" s="367" t="s">
        <v>1062</v>
      </c>
      <c r="B152" s="367"/>
      <c r="C152" s="343">
        <f>(C149*2+C150*2)*C151*C148</f>
        <v>14.080000000000002</v>
      </c>
      <c r="D152" s="339" t="s">
        <v>28</v>
      </c>
    </row>
    <row r="154" spans="1:8">
      <c r="A154" s="338" t="str">
        <f>'PLANILHA ORÇAMENTÁRIA'!B47</f>
        <v>4.1.7</v>
      </c>
      <c r="B154" s="341">
        <f>'PLANILHA ORÇAMENTÁRIA'!C47</f>
        <v>96555</v>
      </c>
      <c r="C154" s="343" t="str">
        <f>'PLANILHA ORÇAMENTÁRIA'!D47</f>
        <v>SINAPI</v>
      </c>
      <c r="D154" s="366" t="str">
        <f>'PLANILHA ORÇAMENTÁRIA'!E47</f>
        <v>CONCRETAGEM DE BLOCOS DE COROAMENTO E VIGAS BALDRAME, FCK 30 MPA, COM USO DE JERICA LANÇAMENTO, ADENSAMENTO E ACABAMENTO</v>
      </c>
      <c r="E154" s="366"/>
      <c r="F154" s="366"/>
      <c r="G154" s="366"/>
      <c r="H154" s="366"/>
    </row>
    <row r="155" spans="1:8">
      <c r="A155" s="367" t="s">
        <v>1076</v>
      </c>
      <c r="B155" s="367"/>
      <c r="C155" s="343">
        <v>22</v>
      </c>
      <c r="D155" s="339" t="s">
        <v>322</v>
      </c>
    </row>
    <row r="156" spans="1:8">
      <c r="A156" s="367" t="s">
        <v>1071</v>
      </c>
      <c r="B156" s="367"/>
      <c r="C156" s="343">
        <v>0.4</v>
      </c>
      <c r="D156" s="339" t="s">
        <v>32</v>
      </c>
    </row>
    <row r="157" spans="1:8">
      <c r="A157" s="367" t="s">
        <v>1055</v>
      </c>
      <c r="B157" s="367"/>
      <c r="C157" s="343">
        <v>0.4</v>
      </c>
      <c r="D157" s="339" t="s">
        <v>32</v>
      </c>
    </row>
    <row r="158" spans="1:8">
      <c r="A158" s="367" t="s">
        <v>1074</v>
      </c>
      <c r="B158" s="367"/>
      <c r="C158" s="343">
        <v>0.4</v>
      </c>
      <c r="D158" s="339" t="s">
        <v>32</v>
      </c>
    </row>
    <row r="159" spans="1:8">
      <c r="A159" s="367" t="s">
        <v>1062</v>
      </c>
      <c r="B159" s="367"/>
      <c r="C159" s="343">
        <f>C158*C157*C156*C155</f>
        <v>1.4080000000000004</v>
      </c>
      <c r="D159" s="339" t="s">
        <v>28</v>
      </c>
    </row>
    <row r="161" spans="1:8" ht="32.4" customHeight="1">
      <c r="A161" s="338" t="str">
        <f>'PLANILHA ORÇAMENTÁRIA'!B48</f>
        <v>4.1.8</v>
      </c>
      <c r="B161" s="341">
        <f>'PLANILHA ORÇAMENTÁRIA'!C48</f>
        <v>92873</v>
      </c>
      <c r="C161" s="343" t="str">
        <f>'PLANILHA ORÇAMENTÁRIA'!D48</f>
        <v>SINAPI</v>
      </c>
      <c r="D161" s="366" t="str">
        <f>'PLANILHA ORÇAMENTÁRIA'!E48</f>
        <v>LANÇAMENTO COM USO DE BALDES, ADENSAMENTO E ACABAMENTO DE CONCRETO EM ESTRUTURAS.</v>
      </c>
      <c r="E161" s="366"/>
      <c r="F161" s="366"/>
      <c r="G161" s="366"/>
      <c r="H161" s="366"/>
    </row>
    <row r="162" spans="1:8">
      <c r="A162" s="367" t="s">
        <v>1082</v>
      </c>
      <c r="B162" s="367"/>
    </row>
    <row r="163" spans="1:8">
      <c r="A163" s="367"/>
      <c r="B163" s="367"/>
    </row>
    <row r="164" spans="1:8">
      <c r="A164" s="338" t="str">
        <f>'PLANILHA ORÇAMENTÁRIA'!B50</f>
        <v>4.1.10</v>
      </c>
      <c r="B164" s="341">
        <f>'PLANILHA ORÇAMENTÁRIA'!C50</f>
        <v>95241</v>
      </c>
      <c r="C164" s="343" t="str">
        <f>'PLANILHA ORÇAMENTÁRIA'!D50</f>
        <v>SINAPI</v>
      </c>
      <c r="D164" s="366" t="str">
        <f>'PLANILHA ORÇAMENTÁRIA'!E50</f>
        <v>Lastro de concreto não-estrutural, espessura 5cm</v>
      </c>
      <c r="E164" s="366"/>
      <c r="F164" s="366"/>
      <c r="G164" s="366"/>
      <c r="H164" s="366"/>
    </row>
    <row r="165" spans="1:8">
      <c r="A165" s="367" t="s">
        <v>1070</v>
      </c>
      <c r="B165" s="367"/>
      <c r="C165" s="343">
        <v>104.38</v>
      </c>
      <c r="D165" s="339" t="s">
        <v>32</v>
      </c>
    </row>
    <row r="166" spans="1:8">
      <c r="A166" s="367" t="s">
        <v>1071</v>
      </c>
      <c r="B166" s="367"/>
      <c r="C166" s="343">
        <v>0.4</v>
      </c>
      <c r="D166" s="339" t="s">
        <v>32</v>
      </c>
    </row>
    <row r="167" spans="1:8">
      <c r="A167" s="367" t="s">
        <v>1056</v>
      </c>
      <c r="B167" s="367"/>
      <c r="C167" s="343">
        <v>0.05</v>
      </c>
      <c r="D167" s="339" t="s">
        <v>32</v>
      </c>
    </row>
    <row r="168" spans="1:8">
      <c r="A168" s="367" t="s">
        <v>1066</v>
      </c>
      <c r="B168" s="367"/>
      <c r="C168" s="343">
        <f>C167*C166*C165</f>
        <v>2.0876000000000001</v>
      </c>
      <c r="D168" s="339" t="s">
        <v>26</v>
      </c>
    </row>
    <row r="170" spans="1:8" ht="37.200000000000003" customHeight="1">
      <c r="A170" s="338" t="str">
        <f>'PLANILHA ORÇAMENTÁRIA'!B51</f>
        <v>4.1.11</v>
      </c>
      <c r="B170" s="341">
        <f>'PLANILHA ORÇAMENTÁRIA'!C51</f>
        <v>96536</v>
      </c>
      <c r="C170" s="343" t="str">
        <f>'PLANILHA ORÇAMENTÁRIA'!D51</f>
        <v>SINAPI</v>
      </c>
      <c r="D170" s="366" t="str">
        <f>'PLANILHA ORÇAMENTÁRIA'!E51</f>
        <v>Montagem e desmontagem de forma, em chapa de madeira compensada plastificada com reaproveitamento</v>
      </c>
      <c r="E170" s="366"/>
      <c r="F170" s="366"/>
      <c r="G170" s="366"/>
      <c r="H170" s="366"/>
    </row>
    <row r="171" spans="1:8">
      <c r="A171" s="367" t="s">
        <v>1070</v>
      </c>
      <c r="B171" s="367"/>
      <c r="C171" s="343">
        <v>104.38</v>
      </c>
      <c r="D171" s="339" t="s">
        <v>32</v>
      </c>
    </row>
    <row r="172" spans="1:8">
      <c r="A172" s="367" t="s">
        <v>1071</v>
      </c>
      <c r="B172" s="367"/>
      <c r="C172" s="343">
        <v>0</v>
      </c>
      <c r="D172" s="339" t="s">
        <v>32</v>
      </c>
    </row>
    <row r="173" spans="1:8">
      <c r="A173" s="367" t="s">
        <v>1056</v>
      </c>
      <c r="B173" s="367"/>
      <c r="C173" s="343">
        <v>0.4</v>
      </c>
      <c r="D173" s="339" t="s">
        <v>32</v>
      </c>
    </row>
    <row r="174" spans="1:8">
      <c r="A174" s="367" t="s">
        <v>1057</v>
      </c>
      <c r="B174" s="367"/>
      <c r="C174" s="343">
        <f>(C173*2)*C171</f>
        <v>83.504000000000005</v>
      </c>
      <c r="D174" s="339" t="s">
        <v>28</v>
      </c>
    </row>
    <row r="176" spans="1:8" ht="21.6" customHeight="1">
      <c r="A176" s="338" t="str">
        <f>'PLANILHA ORÇAMENTÁRIA'!B52</f>
        <v>4.1.12</v>
      </c>
      <c r="B176" s="341">
        <f>'PLANILHA ORÇAMENTÁRIA'!C52</f>
        <v>92917</v>
      </c>
      <c r="C176" s="343" t="str">
        <f>'PLANILHA ORÇAMENTÁRIA'!D52</f>
        <v>SINAPI</v>
      </c>
      <c r="D176" s="369" t="str">
        <f>'PLANILHA ORÇAMENTÁRIA'!E52</f>
        <v>Armação de aço CA-50 Ø 8mm; incluso fornecimento, corte, dobra e colocação</v>
      </c>
      <c r="E176" s="369"/>
      <c r="F176" s="369"/>
      <c r="G176" s="369"/>
      <c r="H176" s="369"/>
    </row>
    <row r="177" spans="1:8">
      <c r="A177" s="367" t="s">
        <v>1083</v>
      </c>
      <c r="B177" s="367"/>
      <c r="C177" s="343">
        <v>104.38</v>
      </c>
      <c r="D177" s="339" t="s">
        <v>32</v>
      </c>
      <c r="E177" s="334"/>
      <c r="F177" s="334"/>
      <c r="G177" s="334"/>
      <c r="H177" s="334"/>
    </row>
    <row r="178" spans="1:8">
      <c r="A178" s="367" t="s">
        <v>1084</v>
      </c>
      <c r="B178" s="367"/>
      <c r="C178" s="343">
        <v>4</v>
      </c>
      <c r="D178" s="339" t="s">
        <v>322</v>
      </c>
      <c r="E178" s="334"/>
      <c r="F178" s="334"/>
      <c r="G178" s="334"/>
      <c r="H178" s="334"/>
    </row>
    <row r="179" spans="1:8">
      <c r="A179" s="367" t="s">
        <v>1062</v>
      </c>
      <c r="B179" s="367"/>
      <c r="C179" s="343">
        <f>C178*C177</f>
        <v>417.52</v>
      </c>
    </row>
    <row r="180" spans="1:8">
      <c r="A180" s="367" t="s">
        <v>1080</v>
      </c>
      <c r="B180" s="367"/>
      <c r="C180" s="343">
        <v>0.39500000000000002</v>
      </c>
      <c r="D180" s="339" t="s">
        <v>30</v>
      </c>
    </row>
    <row r="181" spans="1:8">
      <c r="A181" s="367" t="s">
        <v>1081</v>
      </c>
      <c r="B181" s="367"/>
      <c r="C181" s="343">
        <f>C180*C179*1.15</f>
        <v>189.65845999999999</v>
      </c>
      <c r="D181" s="339" t="s">
        <v>30</v>
      </c>
    </row>
    <row r="183" spans="1:8" ht="34.200000000000003" customHeight="1">
      <c r="A183" s="338" t="str">
        <f>'PLANILHA ORÇAMENTÁRIA'!B53</f>
        <v>4.1.13</v>
      </c>
      <c r="B183" s="341">
        <f>'PLANILHA ORÇAMENTÁRIA'!C53</f>
        <v>92915</v>
      </c>
      <c r="C183" s="343" t="str">
        <f>'PLANILHA ORÇAMENTÁRIA'!D53</f>
        <v>SINAPI</v>
      </c>
      <c r="D183" s="366" t="str">
        <f>'PLANILHA ORÇAMENTÁRIA'!E53</f>
        <v>Armação de aço CA-60 Ø 5,0mm; incluso fornecimento, corte, dobra e colocação</v>
      </c>
      <c r="E183" s="366"/>
      <c r="F183" s="366"/>
      <c r="G183" s="366"/>
      <c r="H183" s="366"/>
    </row>
    <row r="184" spans="1:8">
      <c r="A184" s="367" t="s">
        <v>1087</v>
      </c>
      <c r="B184" s="367"/>
      <c r="C184" s="343">
        <f>0.2*2+0.4*2+0.1</f>
        <v>1.3000000000000003</v>
      </c>
      <c r="D184" s="339" t="s">
        <v>32</v>
      </c>
    </row>
    <row r="185" spans="1:8">
      <c r="A185" s="367" t="s">
        <v>1086</v>
      </c>
      <c r="B185" s="367"/>
      <c r="C185" s="343">
        <v>700</v>
      </c>
      <c r="D185" s="339" t="s">
        <v>322</v>
      </c>
    </row>
    <row r="186" spans="1:8">
      <c r="A186" s="367" t="s">
        <v>1062</v>
      </c>
      <c r="B186" s="367"/>
      <c r="C186" s="343">
        <f>C185*C184</f>
        <v>910.00000000000023</v>
      </c>
      <c r="D186" s="339" t="s">
        <v>32</v>
      </c>
    </row>
    <row r="187" spans="1:8">
      <c r="A187" s="367" t="s">
        <v>1080</v>
      </c>
      <c r="B187" s="367"/>
      <c r="C187" s="343">
        <v>0.154</v>
      </c>
      <c r="D187" s="339" t="s">
        <v>30</v>
      </c>
    </row>
    <row r="188" spans="1:8">
      <c r="A188" s="367" t="s">
        <v>1081</v>
      </c>
      <c r="B188" s="367"/>
      <c r="C188" s="343">
        <f>C187*C186*1.15</f>
        <v>161.16100000000003</v>
      </c>
      <c r="D188" s="339" t="s">
        <v>30</v>
      </c>
    </row>
    <row r="190" spans="1:8" ht="34.200000000000003" customHeight="1">
      <c r="A190" s="338" t="str">
        <f>'PLANILHA ORÇAMENTÁRIA'!B54</f>
        <v>4.1.14</v>
      </c>
      <c r="B190" s="341">
        <f>'PLANILHA ORÇAMENTÁRIA'!C54</f>
        <v>96546</v>
      </c>
      <c r="C190" s="343" t="str">
        <f>'PLANILHA ORÇAMENTÁRIA'!D54</f>
        <v>SINAPI</v>
      </c>
      <c r="D190" s="366" t="str">
        <f>'PLANILHA ORÇAMENTÁRIA'!E54</f>
        <v>ARMAÇÃO DE BLOCO, VIGA BALDRAME OU SAPATA UTILIZANDO AÇO CA-50 DE 10 MM</v>
      </c>
      <c r="E190" s="366"/>
      <c r="F190" s="366"/>
      <c r="G190" s="366"/>
      <c r="H190" s="366"/>
    </row>
    <row r="191" spans="1:8">
      <c r="A191" s="367" t="s">
        <v>1088</v>
      </c>
      <c r="B191" s="367"/>
      <c r="C191" s="343">
        <f>104.38*0.2</f>
        <v>20.876000000000001</v>
      </c>
      <c r="D191" s="339" t="s">
        <v>32</v>
      </c>
    </row>
    <row r="192" spans="1:8">
      <c r="A192" s="367" t="s">
        <v>1084</v>
      </c>
      <c r="B192" s="367"/>
      <c r="C192" s="343">
        <v>2</v>
      </c>
      <c r="D192" s="339" t="s">
        <v>322</v>
      </c>
    </row>
    <row r="193" spans="1:8">
      <c r="A193" s="367" t="s">
        <v>1062</v>
      </c>
      <c r="B193" s="367"/>
      <c r="C193" s="343">
        <f>C192*C191</f>
        <v>41.752000000000002</v>
      </c>
    </row>
    <row r="194" spans="1:8">
      <c r="A194" s="367" t="s">
        <v>1080</v>
      </c>
      <c r="B194" s="367"/>
      <c r="C194" s="343">
        <v>0.61699999999999999</v>
      </c>
      <c r="D194" s="339" t="s">
        <v>30</v>
      </c>
    </row>
    <row r="195" spans="1:8">
      <c r="A195" s="367" t="s">
        <v>1081</v>
      </c>
      <c r="B195" s="367"/>
      <c r="C195" s="343">
        <f>C194*C193*1.15</f>
        <v>29.6251316</v>
      </c>
      <c r="D195" s="339" t="s">
        <v>30</v>
      </c>
    </row>
    <row r="197" spans="1:8" ht="47.4" customHeight="1">
      <c r="A197" s="338" t="str">
        <f>'PLANILHA ORÇAMENTÁRIA'!B55</f>
        <v>4.1.15</v>
      </c>
      <c r="B197" s="341">
        <f>'PLANILHA ORÇAMENTÁRIA'!C55</f>
        <v>96555</v>
      </c>
      <c r="C197" s="343" t="str">
        <f>'PLANILHA ORÇAMENTÁRIA'!D55</f>
        <v>SINAPI</v>
      </c>
      <c r="D197" s="366" t="str">
        <f>'PLANILHA ORÇAMENTÁRIA'!E55</f>
        <v>CONCRETAGEM DE BLOCOS DE COROAMENTO E VIGAS BALDRAME, FCK 30 MPA, COM USO DE JERICA LANÇAMENTO, ADENSAMENTO E ACABAMENTO</v>
      </c>
      <c r="E197" s="366"/>
      <c r="F197" s="366"/>
      <c r="G197" s="366"/>
      <c r="H197" s="366"/>
    </row>
    <row r="198" spans="1:8">
      <c r="A198" s="367" t="s">
        <v>1083</v>
      </c>
      <c r="B198" s="367"/>
      <c r="C198" s="343">
        <v>104.38</v>
      </c>
      <c r="D198" s="339" t="s">
        <v>32</v>
      </c>
    </row>
    <row r="199" spans="1:8">
      <c r="A199" s="367" t="s">
        <v>1071</v>
      </c>
      <c r="B199" s="367"/>
      <c r="C199" s="343">
        <v>0.2</v>
      </c>
      <c r="D199" s="339" t="s">
        <v>32</v>
      </c>
    </row>
    <row r="200" spans="1:8">
      <c r="A200" s="367" t="s">
        <v>1056</v>
      </c>
      <c r="B200" s="367"/>
      <c r="C200" s="343">
        <v>0.4</v>
      </c>
      <c r="D200" s="339" t="s">
        <v>32</v>
      </c>
    </row>
    <row r="201" spans="1:8" ht="21" customHeight="1">
      <c r="A201" s="367" t="s">
        <v>1066</v>
      </c>
      <c r="B201" s="367"/>
      <c r="C201" s="343">
        <f>C200*C199*C198</f>
        <v>8.3504000000000005</v>
      </c>
      <c r="D201" s="339" t="s">
        <v>26</v>
      </c>
    </row>
    <row r="202" spans="1:8">
      <c r="A202" s="367"/>
      <c r="B202" s="367"/>
    </row>
    <row r="203" spans="1:8" ht="40.200000000000003" customHeight="1">
      <c r="A203" s="338" t="str">
        <f>'PLANILHA ORÇAMENTÁRIA'!B56</f>
        <v>4.1.16</v>
      </c>
      <c r="B203" s="341">
        <f>'PLANILHA ORÇAMENTÁRIA'!C56</f>
        <v>92873</v>
      </c>
      <c r="C203" s="343" t="str">
        <f>'PLANILHA ORÇAMENTÁRIA'!D56</f>
        <v>SINAPI</v>
      </c>
      <c r="D203" s="366" t="str">
        <f>'PLANILHA ORÇAMENTÁRIA'!E56</f>
        <v>LANÇAMENTO COM USO DE BALDES, ADENSAMENTO E ACABAMENTO DE CONCRETO EM ESTRUTURAS.</v>
      </c>
      <c r="E203" s="366"/>
      <c r="F203" s="366"/>
      <c r="G203" s="366"/>
      <c r="H203" s="366"/>
    </row>
    <row r="204" spans="1:8">
      <c r="A204" s="338" t="s">
        <v>1085</v>
      </c>
    </row>
    <row r="206" spans="1:8">
      <c r="A206" s="338" t="str">
        <f>'PLANILHA ORÇAMENTÁRIA'!B61</f>
        <v>5.1.1</v>
      </c>
      <c r="B206" s="341">
        <f>'PLANILHA ORÇAMENTÁRIA'!C61</f>
        <v>92419</v>
      </c>
      <c r="C206" s="343" t="str">
        <f>'PLANILHA ORÇAMENTÁRIA'!D61</f>
        <v>SINAPI</v>
      </c>
      <c r="D206" s="366" t="str">
        <f>'PLANILHA ORÇAMENTÁRIA'!E61</f>
        <v>Montagem e desmontagem de forma, em chapa de madeira compensada plastificada com reaproveitamento</v>
      </c>
      <c r="E206" s="366"/>
      <c r="F206" s="366"/>
      <c r="G206" s="366"/>
      <c r="H206" s="366"/>
    </row>
    <row r="207" spans="1:8">
      <c r="A207" s="367" t="s">
        <v>1092</v>
      </c>
      <c r="B207" s="367"/>
      <c r="C207" s="343">
        <v>22</v>
      </c>
      <c r="D207" s="339" t="s">
        <v>322</v>
      </c>
      <c r="E207" s="334"/>
      <c r="F207" s="334"/>
      <c r="G207" s="334"/>
      <c r="H207" s="334"/>
    </row>
    <row r="208" spans="1:8">
      <c r="A208" s="367" t="s">
        <v>1071</v>
      </c>
      <c r="B208" s="367"/>
      <c r="C208" s="343">
        <v>0.2</v>
      </c>
      <c r="D208" s="339" t="s">
        <v>32</v>
      </c>
      <c r="E208" s="334"/>
      <c r="F208" s="334"/>
      <c r="G208" s="334"/>
      <c r="H208" s="334"/>
    </row>
    <row r="209" spans="1:8">
      <c r="A209" s="367" t="s">
        <v>1089</v>
      </c>
      <c r="B209" s="367"/>
      <c r="C209" s="343">
        <v>0.3</v>
      </c>
      <c r="D209" s="339" t="s">
        <v>32</v>
      </c>
      <c r="E209" s="334"/>
      <c r="F209" s="334"/>
      <c r="G209" s="334"/>
      <c r="H209" s="334"/>
    </row>
    <row r="210" spans="1:8">
      <c r="A210" s="367" t="s">
        <v>1093</v>
      </c>
      <c r="B210" s="367"/>
      <c r="C210" s="343">
        <v>2.8</v>
      </c>
      <c r="D210" s="339" t="s">
        <v>32</v>
      </c>
    </row>
    <row r="211" spans="1:8">
      <c r="A211" s="367" t="s">
        <v>1057</v>
      </c>
      <c r="B211" s="367"/>
      <c r="C211" s="343">
        <f>(C208*2+C209*2)*C210*C207</f>
        <v>61.599999999999994</v>
      </c>
      <c r="D211" s="339" t="s">
        <v>28</v>
      </c>
    </row>
    <row r="214" spans="1:8">
      <c r="A214" s="338" t="str">
        <f>'PLANILHA ORÇAMENTÁRIA'!B62</f>
        <v>5.1.2</v>
      </c>
      <c r="B214" s="341">
        <f>'PLANILHA ORÇAMENTÁRIA'!C62</f>
        <v>92762</v>
      </c>
      <c r="C214" s="343" t="str">
        <f>'PLANILHA ORÇAMENTÁRIA'!D62</f>
        <v>SINAPI</v>
      </c>
      <c r="D214" s="369" t="str">
        <f>'PLANILHA ORÇAMENTÁRIA'!E62</f>
        <v>Armação de aço CA-50 Ø 10mm; incluso fornecimento, corte, dobra e colocação</v>
      </c>
      <c r="E214" s="369"/>
      <c r="F214" s="369"/>
      <c r="G214" s="369"/>
      <c r="H214" s="369"/>
    </row>
    <row r="215" spans="1:8">
      <c r="A215" s="367" t="s">
        <v>1092</v>
      </c>
      <c r="B215" s="367"/>
      <c r="C215" s="343">
        <v>22</v>
      </c>
      <c r="D215" s="339" t="s">
        <v>322</v>
      </c>
    </row>
    <row r="216" spans="1:8">
      <c r="A216" s="367" t="s">
        <v>1084</v>
      </c>
      <c r="B216" s="367"/>
      <c r="C216" s="343">
        <f>4*2.8+0.8*4</f>
        <v>14.399999999999999</v>
      </c>
      <c r="D216" s="339" t="s">
        <v>32</v>
      </c>
      <c r="E216" s="332"/>
      <c r="F216" s="332"/>
      <c r="G216" s="332"/>
      <c r="H216" s="332"/>
    </row>
    <row r="217" spans="1:8">
      <c r="A217" s="367" t="s">
        <v>1062</v>
      </c>
      <c r="B217" s="367"/>
      <c r="C217" s="343">
        <f>C216*C215</f>
        <v>316.79999999999995</v>
      </c>
      <c r="E217" s="332"/>
      <c r="F217" s="332"/>
      <c r="G217" s="332"/>
      <c r="H217" s="332"/>
    </row>
    <row r="218" spans="1:8">
      <c r="A218" s="367" t="s">
        <v>1080</v>
      </c>
      <c r="B218" s="367"/>
      <c r="C218" s="343">
        <v>0.61699999999999999</v>
      </c>
      <c r="D218" s="339" t="s">
        <v>30</v>
      </c>
      <c r="E218" s="332"/>
      <c r="F218" s="332"/>
      <c r="G218" s="332"/>
      <c r="H218" s="332"/>
    </row>
    <row r="219" spans="1:8">
      <c r="A219" s="367" t="s">
        <v>1081</v>
      </c>
      <c r="B219" s="367"/>
      <c r="C219" s="343">
        <f>C218*C217*1.15</f>
        <v>224.78543999999994</v>
      </c>
      <c r="D219" s="339" t="s">
        <v>30</v>
      </c>
    </row>
    <row r="222" spans="1:8" ht="31.2" customHeight="1">
      <c r="A222" s="338" t="str">
        <f>'PLANILHA ORÇAMENTÁRIA'!B63</f>
        <v>5.1.3</v>
      </c>
      <c r="B222" s="341">
        <f>'PLANILHA ORÇAMENTÁRIA'!C63</f>
        <v>92759</v>
      </c>
      <c r="C222" s="343" t="str">
        <f>'PLANILHA ORÇAMENTÁRIA'!D63</f>
        <v>SINAPI</v>
      </c>
      <c r="D222" s="370" t="str">
        <f>'PLANILHA ORÇAMENTÁRIA'!E63</f>
        <v>Armação de aço CA-60 Ø 5,0mm; incluso fornecimento, corte, dobra e colocação</v>
      </c>
      <c r="E222" s="370"/>
      <c r="F222" s="370"/>
      <c r="G222" s="370"/>
      <c r="H222" s="370"/>
    </row>
    <row r="223" spans="1:8">
      <c r="A223" s="367" t="s">
        <v>1092</v>
      </c>
      <c r="B223" s="367"/>
      <c r="C223" s="343">
        <v>22</v>
      </c>
      <c r="D223" s="339" t="s">
        <v>322</v>
      </c>
    </row>
    <row r="224" spans="1:8">
      <c r="A224" s="367" t="s">
        <v>1094</v>
      </c>
      <c r="B224" s="367"/>
      <c r="C224" s="343">
        <f>19*(0.2*2+0.3*2+0.1)</f>
        <v>20.900000000000002</v>
      </c>
      <c r="D224" s="339" t="s">
        <v>32</v>
      </c>
      <c r="E224" s="332"/>
      <c r="F224" s="332"/>
      <c r="G224" s="332"/>
      <c r="H224" s="332"/>
    </row>
    <row r="225" spans="1:8">
      <c r="A225" s="367" t="s">
        <v>1062</v>
      </c>
      <c r="B225" s="367"/>
      <c r="C225" s="343">
        <f>C224*C223</f>
        <v>459.80000000000007</v>
      </c>
      <c r="E225" s="332"/>
      <c r="F225" s="332"/>
      <c r="G225" s="332"/>
      <c r="H225" s="332"/>
    </row>
    <row r="226" spans="1:8">
      <c r="A226" s="367" t="s">
        <v>1080</v>
      </c>
      <c r="B226" s="367"/>
      <c r="C226" s="343">
        <v>0.154</v>
      </c>
      <c r="D226" s="339" t="s">
        <v>30</v>
      </c>
    </row>
    <row r="227" spans="1:8">
      <c r="A227" s="367" t="s">
        <v>1081</v>
      </c>
      <c r="B227" s="367"/>
      <c r="C227" s="343">
        <f>C226*C225*1.15</f>
        <v>81.430579999999992</v>
      </c>
      <c r="D227" s="339" t="s">
        <v>30</v>
      </c>
    </row>
    <row r="229" spans="1:8">
      <c r="A229" s="338" t="str">
        <f>'PLANILHA ORÇAMENTÁRIA'!B64</f>
        <v>5.1.4</v>
      </c>
      <c r="B229" s="341">
        <f>'PLANILHA ORÇAMENTÁRIA'!C64</f>
        <v>92718</v>
      </c>
      <c r="C229" s="343" t="str">
        <f>'PLANILHA ORÇAMENTÁRIA'!D64</f>
        <v>SINAPI</v>
      </c>
      <c r="D229" s="366" t="str">
        <f>'PLANILHA ORÇAMENTÁRIA'!E64</f>
        <v>Concreto Bombeado fck= 25MPa; incluindo preparo</v>
      </c>
      <c r="E229" s="366"/>
      <c r="F229" s="366"/>
      <c r="G229" s="366"/>
      <c r="H229" s="366"/>
    </row>
    <row r="230" spans="1:8">
      <c r="A230" s="367" t="s">
        <v>1095</v>
      </c>
      <c r="B230" s="367"/>
      <c r="C230" s="343">
        <v>2.8</v>
      </c>
      <c r="D230" s="339" t="s">
        <v>32</v>
      </c>
    </row>
    <row r="231" spans="1:8">
      <c r="A231" s="367" t="s">
        <v>1096</v>
      </c>
      <c r="B231" s="367"/>
      <c r="C231" s="343">
        <v>22</v>
      </c>
      <c r="D231" s="339" t="s">
        <v>322</v>
      </c>
    </row>
    <row r="232" spans="1:8">
      <c r="A232" s="367" t="s">
        <v>1071</v>
      </c>
      <c r="B232" s="367"/>
      <c r="C232" s="343">
        <v>0.2</v>
      </c>
      <c r="E232" s="332"/>
      <c r="F232" s="332"/>
      <c r="G232" s="332"/>
      <c r="H232" s="332"/>
    </row>
    <row r="233" spans="1:8">
      <c r="A233" s="367" t="s">
        <v>1097</v>
      </c>
      <c r="B233" s="367"/>
      <c r="C233" s="343">
        <v>0.3</v>
      </c>
      <c r="D233" s="339" t="s">
        <v>32</v>
      </c>
    </row>
    <row r="234" spans="1:8">
      <c r="A234" s="367" t="s">
        <v>1066</v>
      </c>
      <c r="B234" s="367"/>
      <c r="C234" s="343">
        <f>(C233*C232*C231*C230)</f>
        <v>3.6959999999999993</v>
      </c>
      <c r="D234" s="339" t="s">
        <v>26</v>
      </c>
    </row>
    <row r="236" spans="1:8" ht="25.8" customHeight="1">
      <c r="A236" s="338" t="str">
        <f>'PLANILHA ORÇAMENTÁRIA'!B65</f>
        <v>5.1.5</v>
      </c>
      <c r="B236" s="341">
        <f>'PLANILHA ORÇAMENTÁRIA'!C65</f>
        <v>92873</v>
      </c>
      <c r="C236" s="343" t="str">
        <f>'PLANILHA ORÇAMENTÁRIA'!D65</f>
        <v>SINAPI</v>
      </c>
      <c r="D236" s="366" t="str">
        <f>'PLANILHA ORÇAMENTÁRIA'!E65</f>
        <v>LANÇAMENTO COM USO DE BALDES, ADENSAMENTO E ACABAMENTO DE CONCRETO EM ESTRUTURAS.</v>
      </c>
      <c r="E236" s="366"/>
      <c r="F236" s="366"/>
      <c r="G236" s="366"/>
      <c r="H236" s="366"/>
    </row>
    <row r="237" spans="1:8">
      <c r="A237" s="338" t="s">
        <v>1098</v>
      </c>
    </row>
    <row r="239" spans="1:8" ht="33" customHeight="1">
      <c r="A239" s="338" t="str">
        <f>'PLANILHA ORÇAMENTÁRIA'!B67</f>
        <v>5.2.1</v>
      </c>
      <c r="B239" s="341">
        <f>'PLANILHA ORÇAMENTÁRIA'!C67</f>
        <v>92448</v>
      </c>
      <c r="C239" s="343" t="str">
        <f>'PLANILHA ORÇAMENTÁRIA'!D67</f>
        <v>SINAPI</v>
      </c>
      <c r="D239" s="366" t="str">
        <f>'PLANILHA ORÇAMENTÁRIA'!E67</f>
        <v>Montagem e desmontagem de forma, em chapa de madeira compensada plastificada com reaproveitamento</v>
      </c>
      <c r="E239" s="366"/>
      <c r="F239" s="366"/>
      <c r="G239" s="366"/>
      <c r="H239" s="366"/>
    </row>
    <row r="240" spans="1:8">
      <c r="A240" s="367" t="s">
        <v>1100</v>
      </c>
      <c r="B240" s="367"/>
      <c r="C240" s="343">
        <v>104.38</v>
      </c>
      <c r="D240" s="339" t="s">
        <v>32</v>
      </c>
    </row>
    <row r="241" spans="1:8">
      <c r="A241" s="367" t="s">
        <v>1071</v>
      </c>
      <c r="B241" s="367"/>
      <c r="C241" s="343">
        <v>0.2</v>
      </c>
      <c r="D241" s="339" t="s">
        <v>32</v>
      </c>
    </row>
    <row r="242" spans="1:8">
      <c r="A242" s="367" t="s">
        <v>1056</v>
      </c>
      <c r="B242" s="367"/>
      <c r="C242" s="343">
        <v>0.4</v>
      </c>
      <c r="D242" s="339" t="s">
        <v>32</v>
      </c>
    </row>
    <row r="243" spans="1:8">
      <c r="A243" s="367" t="s">
        <v>1099</v>
      </c>
      <c r="B243" s="367"/>
      <c r="C243" s="343">
        <f>(C242*2+C241)*C240</f>
        <v>104.38</v>
      </c>
      <c r="D243" s="339" t="s">
        <v>28</v>
      </c>
    </row>
    <row r="244" spans="1:8">
      <c r="A244" s="367"/>
      <c r="B244" s="367"/>
    </row>
    <row r="245" spans="1:8" ht="39" customHeight="1">
      <c r="A245" s="338" t="str">
        <f>'PLANILHA ORÇAMENTÁRIA'!B68</f>
        <v>5.2.2</v>
      </c>
      <c r="B245" s="341">
        <f>'PLANILHA ORÇAMENTÁRIA'!C68</f>
        <v>92776</v>
      </c>
      <c r="C245" s="343" t="str">
        <f>'PLANILHA ORÇAMENTÁRIA'!D68</f>
        <v>SINAPI</v>
      </c>
      <c r="D245" s="366" t="str">
        <f>'PLANILHA ORÇAMENTÁRIA'!E68</f>
        <v>Armação de aço CA-50 Ø 6,3mm; incluso fornecimento, corte, dobra e colocação</v>
      </c>
      <c r="E245" s="366"/>
      <c r="F245" s="366"/>
      <c r="G245" s="366"/>
      <c r="H245" s="366"/>
    </row>
    <row r="246" spans="1:8">
      <c r="A246" s="367" t="s">
        <v>1100</v>
      </c>
      <c r="B246" s="367"/>
      <c r="C246" s="343">
        <v>104.38</v>
      </c>
      <c r="D246" s="339" t="s">
        <v>32</v>
      </c>
    </row>
    <row r="247" spans="1:8">
      <c r="A247" s="367" t="s">
        <v>1101</v>
      </c>
      <c r="B247" s="367"/>
      <c r="C247" s="343">
        <f>C246*2</f>
        <v>208.76</v>
      </c>
      <c r="D247" s="339" t="s">
        <v>32</v>
      </c>
    </row>
    <row r="248" spans="1:8">
      <c r="A248" s="367" t="s">
        <v>1080</v>
      </c>
      <c r="B248" s="367"/>
      <c r="C248" s="343">
        <v>0.245</v>
      </c>
      <c r="D248" s="339" t="s">
        <v>30</v>
      </c>
    </row>
    <row r="249" spans="1:8">
      <c r="A249" s="367" t="s">
        <v>1081</v>
      </c>
      <c r="B249" s="367"/>
      <c r="C249" s="343">
        <f>C248*C247*1.1</f>
        <v>56.260820000000002</v>
      </c>
      <c r="D249" s="339" t="s">
        <v>30</v>
      </c>
    </row>
    <row r="250" spans="1:8">
      <c r="E250" s="336"/>
      <c r="F250" s="336"/>
      <c r="G250" s="336"/>
      <c r="H250" s="336"/>
    </row>
    <row r="251" spans="1:8">
      <c r="A251" s="338" t="str">
        <f>'PLANILHA ORÇAMENTÁRIA'!B69</f>
        <v>5.2.3</v>
      </c>
      <c r="B251" s="341">
        <f>'PLANILHA ORÇAMENTÁRIA'!C69</f>
        <v>92777</v>
      </c>
      <c r="C251" s="343" t="str">
        <f>'PLANILHA ORÇAMENTÁRIA'!D69</f>
        <v>SINAPI</v>
      </c>
      <c r="D251" s="369" t="str">
        <f>'PLANILHA ORÇAMENTÁRIA'!E69</f>
        <v>Armação de aço CA-50 Ø 8mm; incluso fornecimento, corte, dobra e colocação</v>
      </c>
      <c r="E251" s="369"/>
      <c r="F251" s="369"/>
      <c r="G251" s="369"/>
      <c r="H251" s="369"/>
    </row>
    <row r="252" spans="1:8">
      <c r="A252" s="367" t="s">
        <v>1100</v>
      </c>
      <c r="B252" s="367"/>
      <c r="C252" s="343">
        <v>104.38</v>
      </c>
      <c r="D252" s="339" t="s">
        <v>32</v>
      </c>
    </row>
    <row r="253" spans="1:8">
      <c r="A253" s="367" t="s">
        <v>1101</v>
      </c>
      <c r="B253" s="367"/>
      <c r="C253" s="343">
        <f>C252*2</f>
        <v>208.76</v>
      </c>
      <c r="D253" s="339" t="s">
        <v>32</v>
      </c>
    </row>
    <row r="254" spans="1:8">
      <c r="A254" s="367" t="s">
        <v>1080</v>
      </c>
      <c r="B254" s="367"/>
      <c r="C254" s="343">
        <v>0.39500000000000002</v>
      </c>
      <c r="D254" s="339" t="s">
        <v>30</v>
      </c>
      <c r="E254" s="336"/>
      <c r="F254" s="336"/>
      <c r="G254" s="336"/>
      <c r="H254" s="336"/>
    </row>
    <row r="255" spans="1:8">
      <c r="A255" s="367" t="s">
        <v>1081</v>
      </c>
      <c r="B255" s="367"/>
      <c r="C255" s="343">
        <f>C254*C253*1.1</f>
        <v>90.706220000000002</v>
      </c>
      <c r="D255" s="339" t="s">
        <v>30</v>
      </c>
      <c r="E255" s="336"/>
      <c r="F255" s="336"/>
      <c r="G255" s="336"/>
      <c r="H255" s="336"/>
    </row>
    <row r="259" spans="1:8" ht="26.4" customHeight="1">
      <c r="A259" s="338" t="str">
        <f>'PLANILHA ORÇAMENTÁRIA'!B70</f>
        <v>5.2.4</v>
      </c>
      <c r="B259" s="341">
        <f>'PLANILHA ORÇAMENTÁRIA'!C70</f>
        <v>92775</v>
      </c>
      <c r="C259" s="343" t="str">
        <f>'PLANILHA ORÇAMENTÁRIA'!D70</f>
        <v>SINAPI</v>
      </c>
      <c r="D259" s="366" t="str">
        <f>'PLANILHA ORÇAMENTÁRIA'!E70</f>
        <v>Armação de aço CA-60 Ø 5,0mm; incluso fornecimento, corte, dobra e colocação</v>
      </c>
      <c r="E259" s="366"/>
      <c r="F259" s="366"/>
      <c r="G259" s="366"/>
      <c r="H259" s="366"/>
    </row>
    <row r="260" spans="1:8">
      <c r="A260" s="367" t="s">
        <v>1100</v>
      </c>
      <c r="B260" s="367"/>
      <c r="C260" s="343">
        <v>104.38</v>
      </c>
      <c r="D260" s="339" t="s">
        <v>32</v>
      </c>
    </row>
    <row r="261" spans="1:8">
      <c r="A261" s="367" t="s">
        <v>1102</v>
      </c>
      <c r="B261" s="367"/>
      <c r="C261" s="343">
        <v>696</v>
      </c>
      <c r="D261" s="339" t="s">
        <v>322</v>
      </c>
    </row>
    <row r="262" spans="1:8">
      <c r="A262" s="367" t="s">
        <v>1103</v>
      </c>
      <c r="B262" s="367"/>
      <c r="C262" s="343">
        <f>0.2*2+0.4*2+0.1</f>
        <v>1.3000000000000003</v>
      </c>
      <c r="D262" s="339" t="s">
        <v>32</v>
      </c>
    </row>
    <row r="263" spans="1:8">
      <c r="A263" s="367" t="s">
        <v>1080</v>
      </c>
      <c r="B263" s="367"/>
      <c r="C263" s="343">
        <v>0.154</v>
      </c>
      <c r="D263" s="339" t="s">
        <v>30</v>
      </c>
      <c r="E263" s="336"/>
      <c r="F263" s="336"/>
      <c r="G263" s="336"/>
      <c r="H263" s="336"/>
    </row>
    <row r="264" spans="1:8">
      <c r="A264" s="367" t="s">
        <v>1081</v>
      </c>
      <c r="B264" s="367"/>
      <c r="C264" s="343">
        <f>C263*C262*C261*1.1</f>
        <v>153.27312000000006</v>
      </c>
      <c r="D264" s="339" t="s">
        <v>30</v>
      </c>
    </row>
    <row r="266" spans="1:8" ht="27" customHeight="1">
      <c r="A266" s="338" t="str">
        <f>'PLANILHA ORÇAMENTÁRIA'!B71</f>
        <v>5.2.5</v>
      </c>
      <c r="B266" s="341">
        <f>'PLANILHA ORÇAMENTÁRIA'!C71</f>
        <v>92720</v>
      </c>
      <c r="C266" s="343" t="str">
        <f>'PLANILHA ORÇAMENTÁRIA'!D71</f>
        <v>SINAPI</v>
      </c>
      <c r="D266" s="366" t="str">
        <f>'PLANILHA ORÇAMENTÁRIA'!E71</f>
        <v>Concreto Bombeado fck= 25MPa; incluindo preparo, lançamento e adensamento</v>
      </c>
      <c r="E266" s="366"/>
      <c r="F266" s="366"/>
      <c r="G266" s="366"/>
      <c r="H266" s="366"/>
    </row>
    <row r="267" spans="1:8">
      <c r="A267" s="367" t="s">
        <v>1100</v>
      </c>
      <c r="B267" s="367"/>
      <c r="C267" s="343">
        <v>104.38</v>
      </c>
      <c r="D267" s="339" t="s">
        <v>32</v>
      </c>
    </row>
    <row r="268" spans="1:8">
      <c r="A268" s="367" t="s">
        <v>1071</v>
      </c>
      <c r="B268" s="367"/>
      <c r="C268" s="343">
        <v>0.2</v>
      </c>
      <c r="D268" s="339" t="s">
        <v>32</v>
      </c>
      <c r="E268" s="336"/>
      <c r="F268" s="336"/>
      <c r="G268" s="336"/>
      <c r="H268" s="336"/>
    </row>
    <row r="269" spans="1:8">
      <c r="A269" s="367" t="s">
        <v>1056</v>
      </c>
      <c r="B269" s="367"/>
      <c r="C269" s="343">
        <v>0.4</v>
      </c>
      <c r="D269" s="339" t="s">
        <v>32</v>
      </c>
      <c r="E269" s="336"/>
      <c r="F269" s="336"/>
      <c r="G269" s="336"/>
      <c r="H269" s="336"/>
    </row>
    <row r="270" spans="1:8">
      <c r="A270" s="367" t="s">
        <v>1104</v>
      </c>
      <c r="B270" s="367"/>
      <c r="C270" s="343">
        <f>C269*C268*C267</f>
        <v>8.3504000000000005</v>
      </c>
      <c r="D270" s="339" t="s">
        <v>26</v>
      </c>
      <c r="E270" s="336"/>
      <c r="F270" s="336"/>
      <c r="G270" s="336"/>
      <c r="H270" s="336"/>
    </row>
    <row r="272" spans="1:8" ht="30.6" customHeight="1">
      <c r="A272" s="338" t="str">
        <f>'PLANILHA ORÇAMENTÁRIA'!B72</f>
        <v>5.2.6</v>
      </c>
      <c r="B272" s="341">
        <f>'PLANILHA ORÇAMENTÁRIA'!C72</f>
        <v>92873</v>
      </c>
      <c r="C272" s="343" t="str">
        <f>'PLANILHA ORÇAMENTÁRIA'!D72</f>
        <v>SINAPI</v>
      </c>
      <c r="D272" s="366" t="str">
        <f>'PLANILHA ORÇAMENTÁRIA'!E72</f>
        <v>LANÇAMENTO COM USO DE BALDES, ADENSAMENTO E ACABAMENTO DE CONCRETO EM ESTRUTURAS.</v>
      </c>
      <c r="E272" s="366"/>
      <c r="F272" s="366"/>
      <c r="G272" s="366"/>
      <c r="H272" s="366"/>
    </row>
    <row r="273" spans="1:8">
      <c r="A273" s="338" t="s">
        <v>1105</v>
      </c>
    </row>
    <row r="275" spans="1:8" ht="27" customHeight="1">
      <c r="A275" s="338" t="str">
        <f>'PLANILHA ORÇAMENTÁRIA'!B76</f>
        <v>5.3.3</v>
      </c>
      <c r="B275" s="341">
        <f>'PLANILHA ORÇAMENTÁRIA'!C76</f>
        <v>93183</v>
      </c>
      <c r="C275" s="343" t="str">
        <f>'PLANILHA ORÇAMENTÁRIA'!D76</f>
        <v>SINAPI</v>
      </c>
      <c r="D275" s="366" t="str">
        <f>'PLANILHA ORÇAMENTÁRIA'!E76</f>
        <v>Verga e contraverga pré-moldada fck= 20MPa, seção 10x10cm - Janelas acima de 1,50 metro</v>
      </c>
      <c r="E275" s="366"/>
      <c r="F275" s="366"/>
      <c r="G275" s="366"/>
      <c r="H275" s="366"/>
    </row>
    <row r="276" spans="1:8">
      <c r="A276" s="338" t="s">
        <v>1106</v>
      </c>
      <c r="B276" s="341">
        <v>7</v>
      </c>
      <c r="C276" s="343" t="s">
        <v>322</v>
      </c>
      <c r="E276" s="331">
        <f>B276*(0.8+0.4)</f>
        <v>8.4000000000000021</v>
      </c>
      <c r="F276" s="331" t="s">
        <v>1115</v>
      </c>
    </row>
    <row r="277" spans="1:8">
      <c r="A277" s="338" t="s">
        <v>1108</v>
      </c>
      <c r="B277" s="341">
        <v>2</v>
      </c>
      <c r="C277" s="343" t="s">
        <v>322</v>
      </c>
      <c r="E277" s="336">
        <f>B277*(0.9+0.4)</f>
        <v>2.6</v>
      </c>
      <c r="F277" s="336" t="s">
        <v>1115</v>
      </c>
      <c r="G277" s="331">
        <f>E277+E276</f>
        <v>11.000000000000002</v>
      </c>
      <c r="H277" s="331" t="s">
        <v>1115</v>
      </c>
    </row>
    <row r="278" spans="1:8">
      <c r="A278" s="338" t="s">
        <v>1107</v>
      </c>
      <c r="B278" s="341">
        <v>7</v>
      </c>
      <c r="C278" s="343" t="s">
        <v>322</v>
      </c>
      <c r="E278" s="331">
        <f>B278*(1.5+0.4)*2</f>
        <v>26.599999999999998</v>
      </c>
      <c r="F278" s="336" t="s">
        <v>1115</v>
      </c>
    </row>
    <row r="279" spans="1:8">
      <c r="A279" s="338" t="s">
        <v>1109</v>
      </c>
      <c r="B279" s="341">
        <v>4</v>
      </c>
      <c r="C279" s="343" t="s">
        <v>322</v>
      </c>
      <c r="E279" s="336">
        <f>B279*(0.5+0.4)*2</f>
        <v>7.2</v>
      </c>
      <c r="F279" s="336" t="s">
        <v>1115</v>
      </c>
    </row>
    <row r="282" spans="1:8" ht="36.6" customHeight="1">
      <c r="A282" s="338" t="str">
        <f>'PLANILHA ORÇAMENTÁRIA'!B81</f>
        <v>5.1.1</v>
      </c>
      <c r="B282" s="341">
        <f>'PLANILHA ORÇAMENTÁRIA'!C81</f>
        <v>89168</v>
      </c>
      <c r="C282" s="343" t="str">
        <f>'PLANILHA ORÇAMENTÁRIA'!D81</f>
        <v>SINAPI</v>
      </c>
      <c r="D282" s="366" t="str">
        <f>'PLANILHA ORÇAMENTÁRIA'!E81</f>
        <v>Alvenaria de vedação com blocos cerâmicos 9x19x39cm em ½ vez; assentamento com argamassa traço 1:2:8 (cimento, cal e areia)</v>
      </c>
      <c r="E282" s="366"/>
      <c r="F282" s="366"/>
      <c r="G282" s="366"/>
      <c r="H282" s="366"/>
    </row>
    <row r="283" spans="1:8">
      <c r="A283" s="367" t="s">
        <v>1116</v>
      </c>
      <c r="B283" s="367"/>
      <c r="C283" s="343">
        <f>104.38-2.05-2.9-2.15-0.3-2.6</f>
        <v>94.38</v>
      </c>
      <c r="D283" s="339" t="s">
        <v>32</v>
      </c>
    </row>
    <row r="284" spans="1:8">
      <c r="A284" s="367" t="s">
        <v>1117</v>
      </c>
      <c r="B284" s="367"/>
      <c r="C284" s="343">
        <v>3</v>
      </c>
      <c r="D284" s="339" t="s">
        <v>32</v>
      </c>
    </row>
    <row r="285" spans="1:8">
      <c r="A285" s="367" t="s">
        <v>1057</v>
      </c>
      <c r="B285" s="367"/>
      <c r="C285" s="343">
        <f>C284*C283</f>
        <v>283.14</v>
      </c>
      <c r="D285" s="339" t="s">
        <v>28</v>
      </c>
    </row>
    <row r="286" spans="1:8">
      <c r="E286" s="336"/>
      <c r="F286" s="336"/>
      <c r="G286" s="336"/>
      <c r="H286" s="336"/>
    </row>
    <row r="287" spans="1:8">
      <c r="A287" s="367" t="s">
        <v>1118</v>
      </c>
      <c r="B287" s="367"/>
      <c r="C287" s="343">
        <v>13.25</v>
      </c>
      <c r="D287" s="339" t="s">
        <v>28</v>
      </c>
      <c r="E287" s="336"/>
      <c r="F287" s="336"/>
      <c r="G287" s="336"/>
      <c r="H287" s="336"/>
    </row>
    <row r="288" spans="1:8">
      <c r="A288" s="367" t="s">
        <v>1056</v>
      </c>
      <c r="B288" s="367"/>
      <c r="C288" s="343">
        <v>1.5</v>
      </c>
      <c r="D288" s="339" t="s">
        <v>28</v>
      </c>
      <c r="E288" s="336"/>
      <c r="F288" s="336"/>
      <c r="G288" s="336"/>
      <c r="H288" s="336"/>
    </row>
    <row r="289" spans="1:8">
      <c r="A289" s="367" t="s">
        <v>1057</v>
      </c>
      <c r="B289" s="367"/>
      <c r="C289" s="343">
        <f>(C287*C288)/2</f>
        <v>9.9375</v>
      </c>
      <c r="D289" s="339" t="s">
        <v>28</v>
      </c>
      <c r="E289" s="336"/>
      <c r="F289" s="336"/>
      <c r="G289" s="336"/>
      <c r="H289" s="336"/>
    </row>
    <row r="290" spans="1:8">
      <c r="A290" s="367" t="s">
        <v>1119</v>
      </c>
      <c r="B290" s="367"/>
      <c r="C290" s="343">
        <f>C289*2</f>
        <v>19.875</v>
      </c>
      <c r="D290" s="339" t="s">
        <v>28</v>
      </c>
      <c r="E290" s="336"/>
      <c r="F290" s="336"/>
      <c r="G290" s="336"/>
      <c r="H290" s="336"/>
    </row>
    <row r="291" spans="1:8">
      <c r="E291" s="336"/>
      <c r="F291" s="336"/>
      <c r="G291" s="336"/>
      <c r="H291" s="336"/>
    </row>
    <row r="292" spans="1:8">
      <c r="A292" s="367" t="s">
        <v>1120</v>
      </c>
      <c r="B292" s="367"/>
      <c r="C292" s="343">
        <f>C290+C285</f>
        <v>303.01499999999999</v>
      </c>
      <c r="D292" s="339" t="s">
        <v>28</v>
      </c>
      <c r="E292" s="336"/>
      <c r="F292" s="336"/>
      <c r="G292" s="336"/>
      <c r="H292" s="336"/>
    </row>
    <row r="294" spans="1:8" ht="39" customHeight="1">
      <c r="A294" s="338" t="str">
        <f>'PLANILHA ORÇAMENTÁRIA'!B82</f>
        <v>5.1.2</v>
      </c>
      <c r="B294" s="341">
        <f>'PLANILHA ORÇAMENTÁRIA'!C82</f>
        <v>93202</v>
      </c>
      <c r="C294" s="366" t="str">
        <f>'PLANILHA ORÇAMENTÁRIA'!E82</f>
        <v>Encunhamento (aperto de alvenaria) com tijolos cerâmicos maciços 5,7x9x19cm em ½ vez (espessura 9cm); assentamento com argamassa traço 1:2 (cimento e areia)</v>
      </c>
      <c r="D294" s="366"/>
      <c r="E294" s="366"/>
      <c r="F294" s="366"/>
      <c r="G294" s="366"/>
      <c r="H294" s="366"/>
    </row>
    <row r="295" spans="1:8">
      <c r="A295" s="338" t="s">
        <v>1121</v>
      </c>
    </row>
    <row r="297" spans="1:8" ht="28.8" customHeight="1">
      <c r="A297" s="338" t="str">
        <f>'PLANILHA ORÇAMENTÁRIA'!B87</f>
        <v>6.1.1</v>
      </c>
      <c r="B297" s="341">
        <f>'PLANILHA ORÇAMENTÁRIA'!C87</f>
        <v>90843</v>
      </c>
      <c r="C297" s="372" t="str">
        <f>'PLANILHA ORÇAMENTÁRIA'!E87</f>
        <v>PM1 - Porta de madeira para pintura, semi-oca (leve ou média), dimensões 80x210cm, espessura 3,5cm; incluso dobradiças, batentes e fechadura</v>
      </c>
      <c r="D297" s="372"/>
      <c r="E297" s="372"/>
      <c r="F297" s="372"/>
      <c r="G297" s="372"/>
      <c r="H297" s="372"/>
    </row>
    <row r="298" spans="1:8">
      <c r="A298" s="338" t="s">
        <v>1106</v>
      </c>
      <c r="B298" s="341">
        <v>7</v>
      </c>
      <c r="C298" s="343" t="s">
        <v>322</v>
      </c>
      <c r="D298" s="341"/>
      <c r="E298" s="336"/>
      <c r="F298" s="336"/>
      <c r="G298" s="336"/>
      <c r="H298" s="336"/>
    </row>
    <row r="299" spans="1:8">
      <c r="C299" s="341"/>
      <c r="D299" s="341"/>
      <c r="E299" s="336"/>
      <c r="F299" s="336"/>
      <c r="G299" s="336"/>
      <c r="H299" s="336"/>
    </row>
    <row r="300" spans="1:8" ht="30" customHeight="1">
      <c r="A300" s="338" t="str">
        <f>'PLANILHA ORÇAMENTÁRIA'!B88</f>
        <v>6.1.2</v>
      </c>
      <c r="B300" s="341">
        <f>'PLANILHA ORÇAMENTÁRIA'!C88</f>
        <v>90844</v>
      </c>
      <c r="C300" s="372" t="str">
        <f>'PLANILHA ORÇAMENTÁRIA'!E88</f>
        <v>PM2 - Porta de madeira para pintura, semi-oca (leve ou média), dimensões 90x210cm, espessura 3,5cm; incluso dobradiças, batentes e fechadura</v>
      </c>
      <c r="D300" s="372"/>
      <c r="E300" s="372"/>
      <c r="F300" s="372"/>
      <c r="G300" s="372"/>
      <c r="H300" s="372"/>
    </row>
    <row r="301" spans="1:8">
      <c r="A301" s="338" t="s">
        <v>1108</v>
      </c>
      <c r="B301" s="341">
        <v>2</v>
      </c>
      <c r="C301" s="343" t="s">
        <v>322</v>
      </c>
      <c r="E301" s="336"/>
      <c r="F301" s="336"/>
      <c r="G301" s="336"/>
      <c r="H301" s="336"/>
    </row>
    <row r="302" spans="1:8">
      <c r="C302" s="341"/>
      <c r="E302" s="336"/>
      <c r="F302" s="336"/>
      <c r="G302" s="336"/>
      <c r="H302" s="336"/>
    </row>
    <row r="303" spans="1:8">
      <c r="A303" s="338">
        <f>'PLANILHA ORÇAMENTÁRIA'!C92</f>
        <v>102181</v>
      </c>
      <c r="B303" s="341">
        <f>'PLANILHA ORÇAMENTÁRIA'!C90</f>
        <v>36209</v>
      </c>
      <c r="C303" s="367" t="str">
        <f>'PLANILHA ORÇAMENTÁRIA'!E92</f>
        <v>Janela em vidro temperado e=10 mm</v>
      </c>
      <c r="D303" s="367"/>
      <c r="E303" s="367"/>
      <c r="F303" s="367"/>
      <c r="G303" s="367"/>
      <c r="H303" s="367"/>
    </row>
    <row r="304" spans="1:8">
      <c r="A304" s="338" t="s">
        <v>1107</v>
      </c>
      <c r="B304" s="341">
        <v>7</v>
      </c>
      <c r="C304" s="343" t="s">
        <v>322</v>
      </c>
      <c r="E304" s="336"/>
      <c r="F304" s="336"/>
      <c r="G304" s="336"/>
      <c r="H304" s="336"/>
    </row>
    <row r="305" spans="1:8">
      <c r="A305" s="338" t="s">
        <v>1056</v>
      </c>
      <c r="B305" s="341">
        <v>1</v>
      </c>
      <c r="C305" s="343" t="s">
        <v>32</v>
      </c>
      <c r="E305" s="336"/>
      <c r="F305" s="336"/>
      <c r="G305" s="336"/>
      <c r="H305" s="336"/>
    </row>
    <row r="306" spans="1:8">
      <c r="A306" s="338" t="s">
        <v>1055</v>
      </c>
      <c r="B306" s="341">
        <v>1.5</v>
      </c>
      <c r="C306" s="343" t="s">
        <v>32</v>
      </c>
      <c r="E306" s="336"/>
      <c r="F306" s="336"/>
      <c r="G306" s="336"/>
      <c r="H306" s="336"/>
    </row>
    <row r="307" spans="1:8">
      <c r="A307" s="338" t="s">
        <v>1124</v>
      </c>
      <c r="B307" s="341">
        <f>B306*B305*B304</f>
        <v>10.5</v>
      </c>
      <c r="C307" s="343" t="s">
        <v>28</v>
      </c>
      <c r="E307" s="336"/>
      <c r="F307" s="336"/>
      <c r="G307" s="336"/>
      <c r="H307" s="336"/>
    </row>
    <row r="308" spans="1:8">
      <c r="E308" s="336"/>
      <c r="F308" s="336"/>
      <c r="G308" s="336"/>
      <c r="H308" s="336"/>
    </row>
    <row r="309" spans="1:8">
      <c r="A309" s="338" t="s">
        <v>1109</v>
      </c>
      <c r="B309" s="341">
        <v>4</v>
      </c>
      <c r="C309" s="343" t="s">
        <v>322</v>
      </c>
      <c r="E309" s="336"/>
      <c r="F309" s="336"/>
      <c r="G309" s="336"/>
      <c r="H309" s="336"/>
    </row>
    <row r="310" spans="1:8">
      <c r="A310" s="338" t="s">
        <v>1056</v>
      </c>
      <c r="B310" s="341">
        <v>0.5</v>
      </c>
      <c r="C310" s="343" t="s">
        <v>32</v>
      </c>
      <c r="E310" s="336"/>
      <c r="F310" s="336"/>
      <c r="G310" s="336"/>
      <c r="H310" s="336"/>
    </row>
    <row r="311" spans="1:8">
      <c r="A311" s="338" t="s">
        <v>1055</v>
      </c>
      <c r="B311" s="341">
        <v>0.5</v>
      </c>
      <c r="C311" s="343" t="s">
        <v>32</v>
      </c>
      <c r="E311" s="336"/>
      <c r="F311" s="336"/>
      <c r="G311" s="336"/>
      <c r="H311" s="336"/>
    </row>
    <row r="312" spans="1:8">
      <c r="A312" s="338" t="s">
        <v>1124</v>
      </c>
      <c r="B312" s="341">
        <f>B311*B310*B309</f>
        <v>1</v>
      </c>
      <c r="C312" s="343" t="s">
        <v>28</v>
      </c>
      <c r="E312" s="336"/>
      <c r="F312" s="336"/>
      <c r="G312" s="336"/>
      <c r="H312" s="336"/>
    </row>
    <row r="313" spans="1:8">
      <c r="E313" s="336"/>
      <c r="F313" s="336"/>
      <c r="G313" s="336"/>
      <c r="H313" s="336"/>
    </row>
    <row r="314" spans="1:8">
      <c r="A314" s="338" t="s">
        <v>1124</v>
      </c>
      <c r="B314" s="341">
        <f>B312+B307</f>
        <v>11.5</v>
      </c>
      <c r="C314" s="343" t="s">
        <v>28</v>
      </c>
      <c r="E314" s="336"/>
      <c r="F314" s="336"/>
      <c r="G314" s="336"/>
      <c r="H314" s="336"/>
    </row>
    <row r="315" spans="1:8">
      <c r="E315" s="336"/>
      <c r="F315" s="336"/>
      <c r="G315" s="336"/>
      <c r="H315" s="336"/>
    </row>
    <row r="316" spans="1:8" ht="31.2" customHeight="1">
      <c r="A316" s="338" t="str">
        <f>'PLANILHA ORÇAMENTÁRIA'!B98</f>
        <v>7.1</v>
      </c>
      <c r="B316" s="341">
        <f>'PLANILHA ORÇAMENTÁRIA'!C98</f>
        <v>92600</v>
      </c>
      <c r="C316" s="372" t="str">
        <f>'PLANILHA ORÇAMENTÁRIA'!E98</f>
        <v>FABRICAÇÃO E INSTALAÇÃO DE TESOURA INTEIRA EM AÇO, VÃO DE 12 M</v>
      </c>
      <c r="D316" s="372"/>
      <c r="E316" s="372"/>
      <c r="F316" s="372"/>
      <c r="G316" s="372"/>
      <c r="H316" s="372"/>
    </row>
    <row r="317" spans="1:8">
      <c r="A317" s="367" t="s">
        <v>1125</v>
      </c>
      <c r="B317" s="367"/>
      <c r="C317" s="343">
        <v>4</v>
      </c>
      <c r="D317" s="339" t="s">
        <v>1126</v>
      </c>
      <c r="E317" s="336"/>
      <c r="F317" s="336"/>
      <c r="G317" s="336"/>
      <c r="H317" s="336"/>
    </row>
    <row r="318" spans="1:8">
      <c r="C318" s="341"/>
    </row>
    <row r="319" spans="1:8" ht="30" customHeight="1">
      <c r="A319" s="338" t="str">
        <f>'PLANILHA ORÇAMENTÁRIA'!B99</f>
        <v>7.2</v>
      </c>
      <c r="B319" s="341">
        <f>'PLANILHA ORÇAMENTÁRIA'!C99</f>
        <v>92543</v>
      </c>
      <c r="C319" s="372" t="str">
        <f>'PLANILHA ORÇAMENTÁRIA'!E99</f>
        <v>TRAMA DE AÇO COMPOSTA POR TERÇAS PARA TELHADOS DE ATÉ 2 ÁGUAS PARA TELHA ONDULADA DE FIBROCIMENTO, METÁLICA, PLÁSTICA OU TERMOACÚSTICA, INCLUSO TRANSPORTE VERTICAL</v>
      </c>
      <c r="D319" s="372"/>
      <c r="E319" s="372"/>
      <c r="F319" s="372"/>
      <c r="G319" s="372"/>
      <c r="H319" s="372"/>
    </row>
    <row r="320" spans="1:8" ht="30" customHeight="1">
      <c r="A320" s="367" t="s">
        <v>1065</v>
      </c>
      <c r="B320" s="367"/>
      <c r="C320" s="343">
        <v>141.78</v>
      </c>
      <c r="D320" s="339" t="s">
        <v>28</v>
      </c>
      <c r="E320" s="342"/>
      <c r="F320" s="342"/>
      <c r="G320" s="342"/>
      <c r="H320" s="342"/>
    </row>
    <row r="321" spans="1:8" ht="30" customHeight="1">
      <c r="C321" s="345"/>
      <c r="D321" s="345"/>
      <c r="E321" s="342"/>
      <c r="F321" s="342"/>
      <c r="G321" s="342"/>
      <c r="H321" s="342"/>
    </row>
    <row r="322" spans="1:8">
      <c r="A322" s="338" t="str">
        <f>'PLANILHA ORÇAMENTÁRIA'!B100</f>
        <v>7.3</v>
      </c>
      <c r="B322" s="341">
        <f>'PLANILHA ORÇAMENTÁRIA'!C100</f>
        <v>94210</v>
      </c>
      <c r="C322" s="372" t="str">
        <f>'PLANILHA ORÇAMENTÁRIA'!E100</f>
        <v>Cobertura em telha fibrocimento esp 6 mm, inclinação de 30%</v>
      </c>
      <c r="D322" s="372"/>
      <c r="E322" s="372"/>
      <c r="F322" s="372"/>
      <c r="G322" s="372"/>
      <c r="H322" s="372"/>
    </row>
    <row r="323" spans="1:8">
      <c r="A323" s="367" t="s">
        <v>1065</v>
      </c>
      <c r="B323" s="367"/>
      <c r="C323" s="343">
        <v>141.78</v>
      </c>
      <c r="D323" s="339" t="s">
        <v>28</v>
      </c>
      <c r="E323" s="342"/>
      <c r="F323" s="342"/>
      <c r="G323" s="342"/>
      <c r="H323" s="342"/>
    </row>
    <row r="324" spans="1:8">
      <c r="C324" s="345"/>
      <c r="D324" s="345"/>
      <c r="E324" s="342"/>
      <c r="F324" s="342"/>
      <c r="G324" s="342"/>
      <c r="H324" s="342"/>
    </row>
    <row r="325" spans="1:8">
      <c r="A325" s="338" t="str">
        <f>'PLANILHA ORÇAMENTÁRIA'!B101</f>
        <v>7.4</v>
      </c>
      <c r="B325" s="341">
        <f>'PLANILHA ORÇAMENTÁRIA'!C101</f>
        <v>94223</v>
      </c>
      <c r="C325" s="372" t="str">
        <f>'PLANILHA ORÇAMENTÁRIA'!E101</f>
        <v>Cumeeira com telha fibrocimento esp 6 mm</v>
      </c>
      <c r="D325" s="372"/>
      <c r="E325" s="372"/>
      <c r="F325" s="372"/>
      <c r="G325" s="372"/>
      <c r="H325" s="372"/>
    </row>
    <row r="326" spans="1:8">
      <c r="A326" s="338" t="s">
        <v>1127</v>
      </c>
      <c r="C326" s="341">
        <v>12</v>
      </c>
      <c r="D326" s="339" t="s">
        <v>32</v>
      </c>
      <c r="E326" s="336"/>
      <c r="F326" s="336"/>
      <c r="G326" s="336"/>
      <c r="H326" s="336"/>
    </row>
    <row r="327" spans="1:8">
      <c r="C327" s="341"/>
      <c r="E327" s="336"/>
      <c r="F327" s="336"/>
      <c r="G327" s="336"/>
      <c r="H327" s="336"/>
    </row>
    <row r="328" spans="1:8">
      <c r="A328" s="338" t="str">
        <f>'PLANILHA ORÇAMENTÁRIA'!B105</f>
        <v>8.1</v>
      </c>
      <c r="B328" s="341">
        <f>'PLANILHA ORÇAMENTÁRIA'!C105</f>
        <v>98557</v>
      </c>
      <c r="C328" s="367" t="str">
        <f>'PLANILHA ORÇAMENTÁRIA'!E105</f>
        <v>Impermeabilização de superfície com tinta betuminosa em fundações, 2 demãos</v>
      </c>
      <c r="D328" s="367"/>
      <c r="E328" s="367"/>
      <c r="F328" s="367"/>
      <c r="G328" s="367"/>
      <c r="H328" s="367"/>
    </row>
    <row r="329" spans="1:8">
      <c r="A329" s="367" t="s">
        <v>1070</v>
      </c>
      <c r="B329" s="367"/>
      <c r="C329" s="343">
        <v>104.38</v>
      </c>
      <c r="D329" s="339" t="s">
        <v>32</v>
      </c>
    </row>
    <row r="330" spans="1:8">
      <c r="A330" s="367" t="s">
        <v>1071</v>
      </c>
      <c r="B330" s="367"/>
      <c r="C330" s="343">
        <v>0.2</v>
      </c>
      <c r="D330" s="339" t="s">
        <v>32</v>
      </c>
      <c r="E330" s="336"/>
      <c r="F330" s="336"/>
      <c r="G330" s="336"/>
      <c r="H330" s="336"/>
    </row>
    <row r="331" spans="1:8">
      <c r="A331" s="367" t="s">
        <v>1056</v>
      </c>
      <c r="B331" s="367"/>
      <c r="C331" s="343">
        <v>0.3</v>
      </c>
      <c r="D331" s="339" t="s">
        <v>32</v>
      </c>
      <c r="E331" s="336"/>
      <c r="F331" s="336"/>
      <c r="G331" s="336"/>
      <c r="H331" s="336"/>
    </row>
    <row r="332" spans="1:8">
      <c r="A332" s="367" t="s">
        <v>1128</v>
      </c>
      <c r="B332" s="367"/>
      <c r="C332" s="343">
        <f>C329*(C330+C331)</f>
        <v>52.19</v>
      </c>
      <c r="D332" s="339" t="s">
        <v>28</v>
      </c>
      <c r="E332" s="336"/>
      <c r="F332" s="336"/>
      <c r="G332" s="336"/>
      <c r="H332" s="336"/>
    </row>
    <row r="333" spans="1:8">
      <c r="E333" s="336"/>
      <c r="F333" s="336"/>
      <c r="G333" s="336"/>
      <c r="H333" s="336"/>
    </row>
    <row r="334" spans="1:8">
      <c r="A334" s="367" t="s">
        <v>1076</v>
      </c>
      <c r="B334" s="367"/>
      <c r="C334" s="343">
        <v>22</v>
      </c>
      <c r="D334" s="339" t="s">
        <v>322</v>
      </c>
    </row>
    <row r="335" spans="1:8">
      <c r="A335" s="367" t="s">
        <v>1071</v>
      </c>
      <c r="B335" s="367"/>
      <c r="C335" s="343">
        <v>0.4</v>
      </c>
      <c r="D335" s="339" t="s">
        <v>32</v>
      </c>
    </row>
    <row r="336" spans="1:8">
      <c r="A336" s="367" t="s">
        <v>1055</v>
      </c>
      <c r="B336" s="367"/>
      <c r="C336" s="343">
        <v>0.4</v>
      </c>
      <c r="D336" s="339" t="s">
        <v>32</v>
      </c>
    </row>
    <row r="337" spans="1:8">
      <c r="A337" s="367" t="s">
        <v>1074</v>
      </c>
      <c r="B337" s="367"/>
      <c r="C337" s="343">
        <v>0.15</v>
      </c>
      <c r="D337" s="339" t="s">
        <v>32</v>
      </c>
    </row>
    <row r="338" spans="1:8">
      <c r="A338" s="367" t="s">
        <v>1128</v>
      </c>
      <c r="B338" s="367"/>
      <c r="C338" s="343">
        <f>(C337*4+C336*C335)*C334</f>
        <v>16.72</v>
      </c>
      <c r="D338" s="339" t="s">
        <v>26</v>
      </c>
    </row>
    <row r="340" spans="1:8">
      <c r="A340" s="367" t="s">
        <v>1128</v>
      </c>
      <c r="B340" s="367"/>
      <c r="C340" s="343">
        <f>C338+C332</f>
        <v>68.91</v>
      </c>
      <c r="D340" s="339" t="s">
        <v>28</v>
      </c>
    </row>
    <row r="342" spans="1:8">
      <c r="A342" s="338" t="str">
        <f>'PLANILHA ORÇAMENTÁRIA'!B109</f>
        <v>9.1</v>
      </c>
      <c r="B342" s="341">
        <f>'PLANILHA ORÇAMENTÁRIA'!C109</f>
        <v>87879</v>
      </c>
      <c r="C342" s="368" t="str">
        <f>'PLANILHA ORÇAMENTÁRIA'!E109</f>
        <v>Chapisco em parede com argamassa traço 1:3 (cimento e areia)</v>
      </c>
      <c r="D342" s="368"/>
      <c r="E342" s="368"/>
      <c r="F342" s="368"/>
      <c r="G342" s="368"/>
      <c r="H342" s="368"/>
    </row>
    <row r="343" spans="1:8">
      <c r="A343" s="367" t="s">
        <v>1116</v>
      </c>
      <c r="B343" s="367"/>
      <c r="C343" s="343">
        <f>104.38-2.05-2.9-2.15-0.3-2.6</f>
        <v>94.38</v>
      </c>
      <c r="D343" s="339" t="s">
        <v>32</v>
      </c>
      <c r="E343" s="344"/>
      <c r="F343" s="344"/>
      <c r="G343" s="344"/>
      <c r="H343" s="344"/>
    </row>
    <row r="344" spans="1:8">
      <c r="A344" s="367" t="s">
        <v>1117</v>
      </c>
      <c r="B344" s="367"/>
      <c r="C344" s="343">
        <v>3</v>
      </c>
      <c r="D344" s="339" t="s">
        <v>32</v>
      </c>
      <c r="E344" s="344"/>
      <c r="F344" s="344"/>
      <c r="G344" s="344"/>
      <c r="H344" s="344"/>
    </row>
    <row r="345" spans="1:8">
      <c r="A345" s="367" t="s">
        <v>1057</v>
      </c>
      <c r="B345" s="367"/>
      <c r="C345" s="343">
        <f>C344*C343</f>
        <v>283.14</v>
      </c>
      <c r="D345" s="339" t="s">
        <v>28</v>
      </c>
      <c r="E345" s="344"/>
      <c r="F345" s="344"/>
      <c r="G345" s="344"/>
      <c r="H345" s="344"/>
    </row>
    <row r="346" spans="1:8">
      <c r="E346" s="344"/>
      <c r="F346" s="344"/>
      <c r="G346" s="344"/>
      <c r="H346" s="344"/>
    </row>
    <row r="347" spans="1:8">
      <c r="A347" s="367" t="s">
        <v>1118</v>
      </c>
      <c r="B347" s="367"/>
      <c r="C347" s="343">
        <v>13.25</v>
      </c>
      <c r="D347" s="339" t="s">
        <v>28</v>
      </c>
      <c r="E347" s="344"/>
      <c r="F347" s="344"/>
      <c r="G347" s="344"/>
      <c r="H347" s="344"/>
    </row>
    <row r="348" spans="1:8">
      <c r="A348" s="367" t="s">
        <v>1056</v>
      </c>
      <c r="B348" s="367"/>
      <c r="C348" s="343">
        <v>1.5</v>
      </c>
      <c r="D348" s="339" t="s">
        <v>28</v>
      </c>
      <c r="E348" s="344"/>
      <c r="F348" s="344"/>
      <c r="G348" s="344"/>
      <c r="H348" s="344"/>
    </row>
    <row r="349" spans="1:8">
      <c r="A349" s="367" t="s">
        <v>1057</v>
      </c>
      <c r="B349" s="367"/>
      <c r="C349" s="343">
        <f>(C347*C348)/2</f>
        <v>9.9375</v>
      </c>
      <c r="D349" s="339" t="s">
        <v>28</v>
      </c>
      <c r="E349" s="344"/>
      <c r="F349" s="344"/>
      <c r="G349" s="344"/>
      <c r="H349" s="344"/>
    </row>
    <row r="350" spans="1:8">
      <c r="A350" s="367" t="s">
        <v>1119</v>
      </c>
      <c r="B350" s="367"/>
      <c r="C350" s="343">
        <f>C349*2</f>
        <v>19.875</v>
      </c>
      <c r="D350" s="339" t="s">
        <v>28</v>
      </c>
      <c r="E350" s="344"/>
      <c r="F350" s="344"/>
      <c r="G350" s="344"/>
      <c r="H350" s="344"/>
    </row>
    <row r="351" spans="1:8">
      <c r="E351" s="344"/>
      <c r="F351" s="344"/>
      <c r="G351" s="344"/>
      <c r="H351" s="344"/>
    </row>
    <row r="352" spans="1:8">
      <c r="A352" s="367" t="s">
        <v>1120</v>
      </c>
      <c r="B352" s="367"/>
      <c r="C352" s="343">
        <f>C350+C345</f>
        <v>303.01499999999999</v>
      </c>
      <c r="D352" s="339" t="s">
        <v>28</v>
      </c>
      <c r="E352" s="344"/>
      <c r="F352" s="344"/>
      <c r="G352" s="344"/>
      <c r="H352" s="344"/>
    </row>
    <row r="353" spans="1:8">
      <c r="A353" s="367" t="s">
        <v>1129</v>
      </c>
      <c r="B353" s="367"/>
      <c r="C353" s="343">
        <f>C352*2</f>
        <v>606.03</v>
      </c>
      <c r="D353" s="339" t="s">
        <v>28</v>
      </c>
      <c r="E353" s="344"/>
      <c r="F353" s="344"/>
      <c r="G353" s="344"/>
      <c r="H353" s="344"/>
    </row>
    <row r="354" spans="1:8">
      <c r="D354" s="343"/>
      <c r="E354" s="344"/>
      <c r="F354" s="344"/>
      <c r="G354" s="344"/>
      <c r="H354" s="344"/>
    </row>
    <row r="355" spans="1:8">
      <c r="A355" s="338" t="str">
        <f>'PLANILHA ORÇAMENTÁRIA'!B110</f>
        <v>9.2</v>
      </c>
      <c r="B355" s="341">
        <f>'PLANILHA ORÇAMENTÁRIA'!C110</f>
        <v>89173</v>
      </c>
      <c r="C355" s="368" t="str">
        <f>'PLANILHA ORÇAMENTÁRIA'!E110</f>
        <v>Massa única em parede com argamassa traço 1:2:8 (cimento, cal e areia), em betoneiras de 400l</v>
      </c>
      <c r="D355" s="368"/>
      <c r="E355" s="368"/>
      <c r="F355" s="368"/>
      <c r="G355" s="368"/>
      <c r="H355" s="368"/>
    </row>
    <row r="356" spans="1:8">
      <c r="A356" s="367" t="s">
        <v>1116</v>
      </c>
      <c r="B356" s="367"/>
      <c r="C356" s="343">
        <f>104.38-2.05-2.9-2.15-0.3-2.6</f>
        <v>94.38</v>
      </c>
      <c r="D356" s="339" t="s">
        <v>32</v>
      </c>
      <c r="E356" s="344"/>
      <c r="F356" s="344"/>
      <c r="G356" s="344"/>
      <c r="H356" s="344"/>
    </row>
    <row r="357" spans="1:8">
      <c r="A357" s="367" t="s">
        <v>1117</v>
      </c>
      <c r="B357" s="367"/>
      <c r="C357" s="343">
        <v>3</v>
      </c>
      <c r="D357" s="339" t="s">
        <v>32</v>
      </c>
      <c r="E357" s="344"/>
      <c r="F357" s="344"/>
      <c r="G357" s="344"/>
      <c r="H357" s="344"/>
    </row>
    <row r="358" spans="1:8">
      <c r="A358" s="367" t="s">
        <v>1057</v>
      </c>
      <c r="B358" s="367"/>
      <c r="C358" s="343">
        <f>C357*C356</f>
        <v>283.14</v>
      </c>
      <c r="D358" s="339" t="s">
        <v>28</v>
      </c>
      <c r="E358" s="344"/>
      <c r="F358" s="344"/>
      <c r="G358" s="344"/>
      <c r="H358" s="344"/>
    </row>
    <row r="359" spans="1:8">
      <c r="E359" s="344"/>
      <c r="F359" s="344"/>
      <c r="G359" s="344"/>
      <c r="H359" s="344"/>
    </row>
    <row r="360" spans="1:8">
      <c r="A360" s="367" t="s">
        <v>1118</v>
      </c>
      <c r="B360" s="367"/>
      <c r="C360" s="343">
        <v>13.25</v>
      </c>
      <c r="D360" s="339" t="s">
        <v>28</v>
      </c>
      <c r="E360" s="344"/>
      <c r="F360" s="344"/>
      <c r="G360" s="344"/>
      <c r="H360" s="344"/>
    </row>
    <row r="361" spans="1:8">
      <c r="A361" s="367" t="s">
        <v>1056</v>
      </c>
      <c r="B361" s="367"/>
      <c r="C361" s="343">
        <v>1.5</v>
      </c>
      <c r="D361" s="339" t="s">
        <v>28</v>
      </c>
      <c r="E361" s="344"/>
      <c r="F361" s="344"/>
      <c r="G361" s="344"/>
      <c r="H361" s="344"/>
    </row>
    <row r="362" spans="1:8">
      <c r="A362" s="367" t="s">
        <v>1057</v>
      </c>
      <c r="B362" s="367"/>
      <c r="C362" s="343">
        <f>(C360*C361)/2</f>
        <v>9.9375</v>
      </c>
      <c r="D362" s="339" t="s">
        <v>28</v>
      </c>
      <c r="E362" s="344"/>
      <c r="F362" s="344"/>
      <c r="G362" s="344"/>
      <c r="H362" s="344"/>
    </row>
    <row r="363" spans="1:8">
      <c r="A363" s="367" t="s">
        <v>1119</v>
      </c>
      <c r="B363" s="367"/>
      <c r="C363" s="343">
        <f>C362*2</f>
        <v>19.875</v>
      </c>
      <c r="D363" s="339" t="s">
        <v>28</v>
      </c>
      <c r="E363" s="344"/>
      <c r="F363" s="344"/>
      <c r="G363" s="344"/>
      <c r="H363" s="344"/>
    </row>
    <row r="364" spans="1:8">
      <c r="E364" s="344"/>
      <c r="F364" s="344"/>
      <c r="G364" s="344"/>
      <c r="H364" s="344"/>
    </row>
    <row r="365" spans="1:8">
      <c r="A365" s="367" t="s">
        <v>1120</v>
      </c>
      <c r="B365" s="367"/>
      <c r="C365" s="343">
        <f>C363+C358</f>
        <v>303.01499999999999</v>
      </c>
      <c r="D365" s="339" t="s">
        <v>28</v>
      </c>
      <c r="E365" s="344"/>
      <c r="F365" s="344"/>
      <c r="G365" s="344"/>
      <c r="H365" s="344"/>
    </row>
    <row r="366" spans="1:8">
      <c r="A366" s="367" t="s">
        <v>1129</v>
      </c>
      <c r="B366" s="367"/>
      <c r="C366" s="343">
        <f>C365*2</f>
        <v>606.03</v>
      </c>
      <c r="D366" s="339" t="s">
        <v>28</v>
      </c>
      <c r="E366" s="344"/>
      <c r="F366" s="344"/>
      <c r="G366" s="344"/>
      <c r="H366" s="344"/>
    </row>
    <row r="367" spans="1:8">
      <c r="D367" s="343"/>
      <c r="E367" s="344"/>
      <c r="F367" s="344"/>
      <c r="G367" s="344"/>
      <c r="H367" s="344"/>
    </row>
    <row r="368" spans="1:8" ht="31.8" customHeight="1">
      <c r="A368" s="338" t="str">
        <f>'PLANILHA ORÇAMENTÁRIA'!B111</f>
        <v>9.3</v>
      </c>
      <c r="B368" s="341">
        <f>'PLANILHA ORÇAMENTÁRIA'!C111</f>
        <v>87275</v>
      </c>
      <c r="C368" s="366" t="str">
        <f>'PLANILHA ORÇAMENTÁRIA'!E111</f>
        <v>Revestimento cerâmico com placas de dimensões 30x40cm aplicadas à meia altura das paredes, alt 1,80 metros</v>
      </c>
      <c r="D368" s="366"/>
      <c r="E368" s="366"/>
      <c r="F368" s="366"/>
      <c r="G368" s="366"/>
      <c r="H368" s="366"/>
    </row>
    <row r="369" spans="1:8">
      <c r="A369" s="367" t="s">
        <v>1130</v>
      </c>
      <c r="B369" s="367"/>
      <c r="C369" s="341">
        <f>(1.35*2+2*2)*1.8</f>
        <v>12.06</v>
      </c>
      <c r="D369" s="343" t="s">
        <v>28</v>
      </c>
    </row>
    <row r="370" spans="1:8">
      <c r="A370" s="367" t="s">
        <v>1131</v>
      </c>
      <c r="B370" s="367"/>
      <c r="C370" s="341">
        <f>(1.35*2+2*2)*1.8</f>
        <v>12.06</v>
      </c>
      <c r="D370" s="343" t="s">
        <v>28</v>
      </c>
    </row>
    <row r="371" spans="1:8">
      <c r="A371" s="367" t="s">
        <v>1132</v>
      </c>
      <c r="B371" s="367"/>
      <c r="C371" s="341">
        <f>(1.2*2+2.65*2)*1.8</f>
        <v>13.86</v>
      </c>
      <c r="D371" s="343" t="s">
        <v>28</v>
      </c>
    </row>
    <row r="372" spans="1:8">
      <c r="A372" s="367" t="s">
        <v>1133</v>
      </c>
      <c r="B372" s="367"/>
      <c r="C372" s="341">
        <f>(1.2*2+2.2*2)*1.8</f>
        <v>12.240000000000002</v>
      </c>
      <c r="D372" s="343" t="s">
        <v>28</v>
      </c>
    </row>
    <row r="373" spans="1:8">
      <c r="A373" s="367" t="s">
        <v>1135</v>
      </c>
      <c r="B373" s="367"/>
      <c r="C373" s="341">
        <f>(2.15*2+2.5*2)*1.8</f>
        <v>16.740000000000002</v>
      </c>
      <c r="D373" s="343" t="s">
        <v>28</v>
      </c>
      <c r="E373" s="337"/>
      <c r="F373" s="337"/>
      <c r="G373" s="337"/>
      <c r="H373" s="337"/>
    </row>
    <row r="374" spans="1:8">
      <c r="A374" s="367" t="s">
        <v>1062</v>
      </c>
      <c r="B374" s="367"/>
      <c r="C374" s="341">
        <f>SUM(C369:C373)</f>
        <v>66.960000000000008</v>
      </c>
      <c r="D374" s="343" t="s">
        <v>28</v>
      </c>
    </row>
    <row r="376" spans="1:8" ht="28.8" customHeight="1">
      <c r="A376" s="338" t="str">
        <f>'PLANILHA ORÇAMENTÁRIA'!B112</f>
        <v>9.4</v>
      </c>
      <c r="B376" s="341">
        <f>'PLANILHA ORÇAMENTÁRIA'!C112</f>
        <v>96111</v>
      </c>
      <c r="C376" s="366" t="str">
        <f>'PLANILHA ORÇAMENTÁRIA'!E112</f>
        <v>FORRO EM RÉGUAS DE PVC, FRISADO, PARA AMBIENTES RESIDENCIAIS, INCLUSIVE ESTRUTURA DE FIXAÇÃO</v>
      </c>
      <c r="D376" s="366"/>
      <c r="E376" s="366"/>
      <c r="F376" s="366"/>
      <c r="G376" s="366"/>
      <c r="H376" s="366"/>
    </row>
    <row r="377" spans="1:8">
      <c r="A377" s="367" t="s">
        <v>1130</v>
      </c>
      <c r="B377" s="367"/>
      <c r="C377" s="343">
        <v>2.7</v>
      </c>
      <c r="D377" s="339" t="s">
        <v>28</v>
      </c>
      <c r="E377" s="337"/>
      <c r="F377" s="337"/>
      <c r="G377" s="337"/>
      <c r="H377" s="337"/>
    </row>
    <row r="378" spans="1:8">
      <c r="A378" s="367" t="s">
        <v>1131</v>
      </c>
      <c r="B378" s="367"/>
      <c r="C378" s="343">
        <v>2.7</v>
      </c>
      <c r="D378" s="339" t="s">
        <v>28</v>
      </c>
      <c r="E378" s="337"/>
      <c r="F378" s="337"/>
      <c r="G378" s="337"/>
      <c r="H378" s="337"/>
    </row>
    <row r="379" spans="1:8">
      <c r="A379" s="367" t="s">
        <v>1136</v>
      </c>
      <c r="B379" s="367"/>
      <c r="C379" s="343">
        <v>19.91</v>
      </c>
      <c r="D379" s="339" t="s">
        <v>28</v>
      </c>
      <c r="E379" s="337"/>
      <c r="F379" s="337"/>
      <c r="G379" s="337"/>
      <c r="H379" s="337"/>
    </row>
    <row r="380" spans="1:8">
      <c r="A380" s="367" t="s">
        <v>1137</v>
      </c>
      <c r="B380" s="367"/>
      <c r="C380" s="343">
        <v>31.38</v>
      </c>
      <c r="D380" s="339" t="s">
        <v>28</v>
      </c>
      <c r="E380" s="337"/>
      <c r="F380" s="337"/>
      <c r="G380" s="337"/>
      <c r="H380" s="337"/>
    </row>
    <row r="381" spans="1:8">
      <c r="A381" s="367" t="s">
        <v>1138</v>
      </c>
      <c r="B381" s="367"/>
      <c r="C381" s="343">
        <v>5.13</v>
      </c>
      <c r="D381" s="339" t="s">
        <v>28</v>
      </c>
      <c r="E381" s="337"/>
      <c r="F381" s="337"/>
      <c r="G381" s="337"/>
      <c r="H381" s="337"/>
    </row>
    <row r="382" spans="1:8">
      <c r="A382" s="367" t="s">
        <v>1139</v>
      </c>
      <c r="B382" s="367"/>
      <c r="C382" s="343">
        <v>7.25</v>
      </c>
      <c r="D382" s="339" t="s">
        <v>28</v>
      </c>
      <c r="E382" s="337"/>
      <c r="F382" s="337"/>
      <c r="G382" s="337"/>
      <c r="H382" s="337"/>
    </row>
    <row r="383" spans="1:8">
      <c r="A383" s="367" t="s">
        <v>1135</v>
      </c>
      <c r="B383" s="367"/>
      <c r="C383" s="343">
        <v>5.38</v>
      </c>
      <c r="D383" s="339" t="s">
        <v>28</v>
      </c>
      <c r="E383" s="337"/>
      <c r="F383" s="337"/>
      <c r="G383" s="337"/>
      <c r="H383" s="337"/>
    </row>
    <row r="384" spans="1:8">
      <c r="A384" s="367" t="s">
        <v>1133</v>
      </c>
      <c r="B384" s="367"/>
      <c r="C384" s="343">
        <v>2.0699999999999998</v>
      </c>
      <c r="D384" s="339" t="s">
        <v>28</v>
      </c>
      <c r="E384" s="337"/>
      <c r="F384" s="337"/>
      <c r="G384" s="337"/>
      <c r="H384" s="337"/>
    </row>
    <row r="385" spans="1:8">
      <c r="A385" s="367" t="s">
        <v>1132</v>
      </c>
      <c r="B385" s="367"/>
      <c r="C385" s="343">
        <v>3.18</v>
      </c>
      <c r="D385" s="339" t="s">
        <v>28</v>
      </c>
      <c r="E385" s="337"/>
      <c r="F385" s="337"/>
      <c r="G385" s="337"/>
      <c r="H385" s="337"/>
    </row>
    <row r="386" spans="1:8">
      <c r="A386" s="367" t="s">
        <v>1140</v>
      </c>
      <c r="B386" s="367"/>
      <c r="C386" s="343">
        <v>11.61</v>
      </c>
      <c r="D386" s="339" t="s">
        <v>28</v>
      </c>
      <c r="E386" s="337"/>
      <c r="F386" s="337"/>
      <c r="G386" s="337"/>
      <c r="H386" s="337"/>
    </row>
    <row r="387" spans="1:8">
      <c r="A387" s="367" t="s">
        <v>1141</v>
      </c>
      <c r="B387" s="367"/>
      <c r="C387" s="343">
        <v>38.869999999999997</v>
      </c>
      <c r="D387" s="339" t="s">
        <v>28</v>
      </c>
      <c r="E387" s="337"/>
      <c r="F387" s="337"/>
      <c r="G387" s="337"/>
      <c r="H387" s="337"/>
    </row>
    <row r="388" spans="1:8">
      <c r="A388" s="367" t="s">
        <v>1062</v>
      </c>
      <c r="B388" s="367"/>
      <c r="C388" s="343">
        <f>SUM(C377:C387)</f>
        <v>130.17999999999998</v>
      </c>
      <c r="D388" s="339" t="s">
        <v>28</v>
      </c>
      <c r="E388" s="337"/>
      <c r="F388" s="337"/>
      <c r="G388" s="337"/>
      <c r="H388" s="337"/>
    </row>
    <row r="389" spans="1:8">
      <c r="E389" s="337"/>
      <c r="F389" s="337"/>
      <c r="G389" s="337"/>
      <c r="H389" s="337"/>
    </row>
    <row r="390" spans="1:8">
      <c r="A390" s="338" t="str">
        <f>'PLANILHA ORÇAMENTÁRIA'!B117</f>
        <v>10.1.1</v>
      </c>
      <c r="B390" s="341">
        <f>'PLANILHA ORÇAMENTÁRIA'!C117</f>
        <v>87690</v>
      </c>
      <c r="C390" s="366" t="str">
        <f>'PLANILHA ORÇAMENTÁRIA'!E117</f>
        <v>Contrapiso de concreto não-estrutural, espessura 5cm e preparo mecânico</v>
      </c>
      <c r="D390" s="366"/>
      <c r="E390" s="366"/>
      <c r="F390" s="366"/>
      <c r="G390" s="366"/>
      <c r="H390" s="366"/>
    </row>
    <row r="391" spans="1:8">
      <c r="A391" s="367" t="s">
        <v>1130</v>
      </c>
      <c r="B391" s="367"/>
      <c r="C391" s="343">
        <v>2.7</v>
      </c>
      <c r="D391" s="339" t="s">
        <v>28</v>
      </c>
      <c r="E391" s="337"/>
      <c r="F391" s="337"/>
      <c r="G391" s="337"/>
      <c r="H391" s="337"/>
    </row>
    <row r="392" spans="1:8">
      <c r="A392" s="367" t="s">
        <v>1131</v>
      </c>
      <c r="B392" s="367"/>
      <c r="C392" s="343">
        <v>2.7</v>
      </c>
      <c r="D392" s="339" t="s">
        <v>28</v>
      </c>
      <c r="E392" s="337"/>
      <c r="F392" s="337"/>
      <c r="G392" s="337"/>
      <c r="H392" s="337"/>
    </row>
    <row r="393" spans="1:8">
      <c r="A393" s="367" t="s">
        <v>1136</v>
      </c>
      <c r="B393" s="367"/>
      <c r="C393" s="343">
        <v>19.91</v>
      </c>
      <c r="D393" s="339" t="s">
        <v>28</v>
      </c>
      <c r="E393" s="337"/>
      <c r="F393" s="337"/>
      <c r="G393" s="337"/>
      <c r="H393" s="337"/>
    </row>
    <row r="394" spans="1:8">
      <c r="A394" s="367" t="s">
        <v>1137</v>
      </c>
      <c r="B394" s="367"/>
      <c r="C394" s="343">
        <v>31.38</v>
      </c>
      <c r="D394" s="339" t="s">
        <v>28</v>
      </c>
      <c r="E394" s="337"/>
      <c r="F394" s="337"/>
      <c r="G394" s="337"/>
      <c r="H394" s="337"/>
    </row>
    <row r="395" spans="1:8">
      <c r="A395" s="367" t="s">
        <v>1138</v>
      </c>
      <c r="B395" s="367"/>
      <c r="C395" s="343">
        <v>5.13</v>
      </c>
      <c r="D395" s="339" t="s">
        <v>28</v>
      </c>
      <c r="E395" s="337"/>
      <c r="F395" s="337"/>
      <c r="G395" s="337"/>
      <c r="H395" s="337"/>
    </row>
    <row r="396" spans="1:8">
      <c r="A396" s="367" t="s">
        <v>1139</v>
      </c>
      <c r="B396" s="367"/>
      <c r="C396" s="343">
        <v>7.25</v>
      </c>
      <c r="D396" s="339" t="s">
        <v>28</v>
      </c>
      <c r="E396" s="337"/>
      <c r="F396" s="337"/>
      <c r="G396" s="337"/>
      <c r="H396" s="337"/>
    </row>
    <row r="397" spans="1:8">
      <c r="A397" s="367" t="s">
        <v>1135</v>
      </c>
      <c r="B397" s="367"/>
      <c r="C397" s="343">
        <v>5.38</v>
      </c>
      <c r="D397" s="339" t="s">
        <v>28</v>
      </c>
      <c r="E397" s="337"/>
      <c r="F397" s="337"/>
      <c r="G397" s="337"/>
      <c r="H397" s="337"/>
    </row>
    <row r="398" spans="1:8">
      <c r="A398" s="367" t="s">
        <v>1133</v>
      </c>
      <c r="B398" s="367"/>
      <c r="C398" s="343">
        <v>2.0699999999999998</v>
      </c>
      <c r="D398" s="339" t="s">
        <v>28</v>
      </c>
      <c r="E398" s="337"/>
      <c r="F398" s="337"/>
      <c r="G398" s="337"/>
      <c r="H398" s="337"/>
    </row>
    <row r="399" spans="1:8">
      <c r="A399" s="367" t="s">
        <v>1132</v>
      </c>
      <c r="B399" s="367"/>
      <c r="C399" s="343">
        <v>3.18</v>
      </c>
      <c r="D399" s="339" t="s">
        <v>28</v>
      </c>
      <c r="E399" s="337"/>
      <c r="F399" s="337"/>
      <c r="G399" s="337"/>
      <c r="H399" s="337"/>
    </row>
    <row r="400" spans="1:8">
      <c r="A400" s="367" t="s">
        <v>1140</v>
      </c>
      <c r="B400" s="367"/>
      <c r="C400" s="343">
        <v>11.61</v>
      </c>
      <c r="D400" s="339" t="s">
        <v>28</v>
      </c>
      <c r="E400" s="337"/>
      <c r="F400" s="337"/>
      <c r="G400" s="337"/>
      <c r="H400" s="337"/>
    </row>
    <row r="401" spans="1:8">
      <c r="A401" s="367" t="s">
        <v>1141</v>
      </c>
      <c r="B401" s="367"/>
      <c r="C401" s="343">
        <v>38.869999999999997</v>
      </c>
      <c r="D401" s="339" t="s">
        <v>28</v>
      </c>
      <c r="E401" s="337"/>
      <c r="F401" s="337"/>
      <c r="G401" s="337"/>
      <c r="H401" s="337"/>
    </row>
    <row r="402" spans="1:8">
      <c r="A402" s="367" t="s">
        <v>1062</v>
      </c>
      <c r="B402" s="367"/>
      <c r="C402" s="343">
        <f>SUM(C391:C401)</f>
        <v>130.17999999999998</v>
      </c>
      <c r="D402" s="339" t="s">
        <v>28</v>
      </c>
      <c r="E402" s="337"/>
      <c r="F402" s="337"/>
      <c r="G402" s="337"/>
      <c r="H402" s="337"/>
    </row>
    <row r="403" spans="1:8">
      <c r="B403" s="343"/>
      <c r="C403" s="339"/>
      <c r="E403" s="337"/>
      <c r="F403" s="337"/>
      <c r="G403" s="337"/>
      <c r="H403" s="337"/>
    </row>
    <row r="404" spans="1:8" ht="30.6" customHeight="1">
      <c r="A404" s="338" t="str">
        <f>'PLANILHA ORÇAMENTÁRIA'!B118</f>
        <v>10.1.2</v>
      </c>
      <c r="B404" s="341">
        <f>'PLANILHA ORÇAMENTÁRIA'!C118</f>
        <v>87257</v>
      </c>
      <c r="C404" s="366" t="str">
        <f>'PLANILHA ORÇAMENTÁRIA'!E118</f>
        <v>REVESTIMENTO CERÂMICO PARA PISO COM PLACAS TIPO ESMALTADA EXTRA DE DIMENSÕES 60X60 CM APLICADA EM AMBIENTES DE ÁREA MAIOR QUE 10 M2</v>
      </c>
      <c r="D404" s="366"/>
      <c r="E404" s="366"/>
      <c r="F404" s="366"/>
      <c r="G404" s="366"/>
      <c r="H404" s="366"/>
    </row>
    <row r="405" spans="1:8">
      <c r="A405" s="367" t="s">
        <v>1130</v>
      </c>
      <c r="B405" s="367"/>
      <c r="C405" s="343">
        <v>2.7</v>
      </c>
      <c r="D405" s="339" t="s">
        <v>28</v>
      </c>
      <c r="E405" s="337"/>
      <c r="F405" s="337"/>
      <c r="G405" s="337"/>
      <c r="H405" s="337"/>
    </row>
    <row r="406" spans="1:8">
      <c r="A406" s="367" t="s">
        <v>1131</v>
      </c>
      <c r="B406" s="367"/>
      <c r="C406" s="343">
        <v>2.7</v>
      </c>
      <c r="D406" s="339" t="s">
        <v>28</v>
      </c>
      <c r="E406" s="337"/>
      <c r="F406" s="337"/>
      <c r="G406" s="337"/>
      <c r="H406" s="337"/>
    </row>
    <row r="407" spans="1:8">
      <c r="A407" s="367" t="s">
        <v>1136</v>
      </c>
      <c r="B407" s="367"/>
      <c r="C407" s="343">
        <v>19.91</v>
      </c>
      <c r="D407" s="339" t="s">
        <v>28</v>
      </c>
      <c r="E407" s="337"/>
      <c r="F407" s="337"/>
      <c r="G407" s="337"/>
      <c r="H407" s="337"/>
    </row>
    <row r="408" spans="1:8">
      <c r="A408" s="367" t="s">
        <v>1137</v>
      </c>
      <c r="B408" s="367"/>
      <c r="C408" s="343">
        <v>31.38</v>
      </c>
      <c r="D408" s="339" t="s">
        <v>28</v>
      </c>
      <c r="E408" s="337"/>
      <c r="F408" s="337"/>
      <c r="G408" s="337"/>
      <c r="H408" s="337"/>
    </row>
    <row r="409" spans="1:8">
      <c r="A409" s="367" t="s">
        <v>1138</v>
      </c>
      <c r="B409" s="367"/>
      <c r="C409" s="343">
        <v>5.13</v>
      </c>
      <c r="D409" s="339" t="s">
        <v>28</v>
      </c>
      <c r="E409" s="337"/>
      <c r="F409" s="337"/>
      <c r="G409" s="337"/>
      <c r="H409" s="337"/>
    </row>
    <row r="410" spans="1:8">
      <c r="A410" s="367" t="s">
        <v>1139</v>
      </c>
      <c r="B410" s="367"/>
      <c r="C410" s="343">
        <v>7.25</v>
      </c>
      <c r="D410" s="339" t="s">
        <v>28</v>
      </c>
      <c r="E410" s="337"/>
      <c r="F410" s="337"/>
      <c r="G410" s="337"/>
      <c r="H410" s="337"/>
    </row>
    <row r="411" spans="1:8">
      <c r="A411" s="367" t="s">
        <v>1135</v>
      </c>
      <c r="B411" s="367"/>
      <c r="C411" s="343">
        <v>5.38</v>
      </c>
      <c r="D411" s="339" t="s">
        <v>28</v>
      </c>
      <c r="E411" s="337"/>
      <c r="F411" s="337"/>
      <c r="G411" s="337"/>
      <c r="H411" s="337"/>
    </row>
    <row r="412" spans="1:8">
      <c r="A412" s="367" t="s">
        <v>1133</v>
      </c>
      <c r="B412" s="367"/>
      <c r="C412" s="343">
        <v>2.0699999999999998</v>
      </c>
      <c r="D412" s="339" t="s">
        <v>28</v>
      </c>
      <c r="E412" s="337"/>
      <c r="F412" s="337"/>
      <c r="G412" s="337"/>
      <c r="H412" s="337"/>
    </row>
    <row r="413" spans="1:8">
      <c r="A413" s="367" t="s">
        <v>1132</v>
      </c>
      <c r="B413" s="367"/>
      <c r="C413" s="343">
        <v>3.18</v>
      </c>
      <c r="D413" s="339" t="s">
        <v>28</v>
      </c>
      <c r="E413" s="337"/>
      <c r="F413" s="337"/>
      <c r="G413" s="337"/>
      <c r="H413" s="337"/>
    </row>
    <row r="414" spans="1:8">
      <c r="A414" s="367" t="s">
        <v>1140</v>
      </c>
      <c r="B414" s="367"/>
      <c r="C414" s="343">
        <v>11.61</v>
      </c>
      <c r="D414" s="339" t="s">
        <v>28</v>
      </c>
      <c r="E414" s="337"/>
      <c r="F414" s="337"/>
      <c r="G414" s="337"/>
      <c r="H414" s="337"/>
    </row>
    <row r="415" spans="1:8">
      <c r="A415" s="367" t="s">
        <v>1141</v>
      </c>
      <c r="B415" s="367"/>
      <c r="C415" s="343">
        <v>38.869999999999997</v>
      </c>
      <c r="D415" s="339" t="s">
        <v>28</v>
      </c>
      <c r="E415" s="337"/>
      <c r="F415" s="337"/>
      <c r="G415" s="337"/>
      <c r="H415" s="337"/>
    </row>
    <row r="416" spans="1:8">
      <c r="A416" s="367" t="s">
        <v>1062</v>
      </c>
      <c r="B416" s="367"/>
      <c r="C416" s="343">
        <f>SUM(C405:C415)</f>
        <v>130.17999999999998</v>
      </c>
      <c r="D416" s="339" t="s">
        <v>28</v>
      </c>
      <c r="E416" s="337"/>
      <c r="F416" s="337"/>
      <c r="G416" s="337"/>
      <c r="H416" s="337"/>
    </row>
    <row r="417" spans="1:8">
      <c r="C417" s="337"/>
      <c r="D417" s="337"/>
      <c r="E417" s="337"/>
      <c r="F417" s="337"/>
      <c r="G417" s="337"/>
      <c r="H417" s="337"/>
    </row>
    <row r="418" spans="1:8" ht="50.4" customHeight="1">
      <c r="A418" s="338" t="str">
        <f>'PLANILHA ORÇAMENTÁRIA'!B119</f>
        <v>10.1.3</v>
      </c>
      <c r="B418" s="341">
        <f>'PLANILHA ORÇAMENTÁRIA'!C119</f>
        <v>87257</v>
      </c>
      <c r="C418" s="366" t="str">
        <f>'PLANILHA ORÇAMENTÁRIA'!E119</f>
        <v>REVESTIMENTO CERÂMICO PARA PISO COM PLACAS TIPO ESMALTADA EXTRA DE DIMENSÕES 60X60 CM APLICADA EM AMBIENTES DE ÁREA MAIOR QUE 10 M2 - RODAPÉ</v>
      </c>
      <c r="D418" s="366"/>
      <c r="E418" s="366"/>
      <c r="F418" s="366"/>
      <c r="G418" s="366"/>
      <c r="H418" s="366"/>
    </row>
    <row r="419" spans="1:8">
      <c r="A419" s="367" t="s">
        <v>1130</v>
      </c>
      <c r="B419" s="367"/>
      <c r="C419" s="343">
        <v>0</v>
      </c>
      <c r="D419" s="339" t="s">
        <v>32</v>
      </c>
      <c r="E419" s="337"/>
      <c r="F419" s="337"/>
      <c r="G419" s="337"/>
      <c r="H419" s="337"/>
    </row>
    <row r="420" spans="1:8">
      <c r="A420" s="367" t="s">
        <v>1131</v>
      </c>
      <c r="B420" s="367"/>
      <c r="C420" s="343">
        <v>0</v>
      </c>
      <c r="D420" s="339" t="s">
        <v>32</v>
      </c>
      <c r="E420" s="337"/>
      <c r="F420" s="337"/>
      <c r="G420" s="337"/>
      <c r="H420" s="337"/>
    </row>
    <row r="421" spans="1:8">
      <c r="A421" s="367" t="s">
        <v>1136</v>
      </c>
      <c r="B421" s="367"/>
      <c r="C421" s="343">
        <f>2.6+2.05+0.15+2.9+0.15+2.15+0.15</f>
        <v>10.150000000000002</v>
      </c>
      <c r="D421" s="339" t="s">
        <v>32</v>
      </c>
      <c r="E421" s="337"/>
      <c r="F421" s="337"/>
      <c r="G421" s="337"/>
      <c r="H421" s="337"/>
    </row>
    <row r="422" spans="1:8">
      <c r="A422" s="367" t="s">
        <v>1137</v>
      </c>
      <c r="B422" s="367"/>
      <c r="C422" s="343">
        <v>10.7</v>
      </c>
      <c r="D422" s="339" t="s">
        <v>32</v>
      </c>
      <c r="E422" s="337"/>
      <c r="F422" s="337"/>
      <c r="G422" s="337"/>
      <c r="H422" s="337"/>
    </row>
    <row r="423" spans="1:8">
      <c r="A423" s="367" t="s">
        <v>1138</v>
      </c>
      <c r="B423" s="367"/>
      <c r="C423" s="343">
        <f>2.05*2+2.5*2</f>
        <v>9.1</v>
      </c>
      <c r="D423" s="339" t="s">
        <v>32</v>
      </c>
      <c r="E423" s="337"/>
      <c r="F423" s="337"/>
      <c r="G423" s="337"/>
      <c r="H423" s="337"/>
    </row>
    <row r="424" spans="1:8">
      <c r="A424" s="367" t="s">
        <v>1139</v>
      </c>
      <c r="B424" s="367"/>
      <c r="C424" s="343">
        <f>2.9*2+2.5*2</f>
        <v>10.8</v>
      </c>
      <c r="D424" s="339" t="s">
        <v>32</v>
      </c>
      <c r="E424" s="337"/>
      <c r="F424" s="337"/>
      <c r="G424" s="337"/>
      <c r="H424" s="337"/>
    </row>
    <row r="425" spans="1:8">
      <c r="A425" s="367" t="s">
        <v>1135</v>
      </c>
      <c r="B425" s="367"/>
      <c r="C425" s="343">
        <v>0</v>
      </c>
      <c r="D425" s="339" t="s">
        <v>32</v>
      </c>
      <c r="E425" s="337"/>
      <c r="F425" s="337"/>
      <c r="G425" s="337"/>
      <c r="H425" s="337"/>
    </row>
    <row r="426" spans="1:8">
      <c r="A426" s="367" t="s">
        <v>1133</v>
      </c>
      <c r="B426" s="367"/>
      <c r="C426" s="343">
        <v>0</v>
      </c>
      <c r="D426" s="339" t="s">
        <v>32</v>
      </c>
      <c r="E426" s="337"/>
      <c r="F426" s="337"/>
      <c r="G426" s="337"/>
      <c r="H426" s="337"/>
    </row>
    <row r="427" spans="1:8">
      <c r="A427" s="367" t="s">
        <v>1132</v>
      </c>
      <c r="B427" s="367"/>
      <c r="C427" s="343">
        <v>0</v>
      </c>
      <c r="D427" s="339" t="s">
        <v>32</v>
      </c>
      <c r="E427" s="337"/>
      <c r="F427" s="337"/>
      <c r="G427" s="337"/>
      <c r="H427" s="337"/>
    </row>
    <row r="428" spans="1:8">
      <c r="A428" s="367" t="s">
        <v>1140</v>
      </c>
      <c r="B428" s="367"/>
      <c r="C428" s="343">
        <f>(4.38*2+2.65*2)</f>
        <v>14.059999999999999</v>
      </c>
      <c r="D428" s="339" t="s">
        <v>32</v>
      </c>
      <c r="E428" s="337"/>
      <c r="F428" s="337"/>
      <c r="G428" s="337"/>
      <c r="H428" s="337"/>
    </row>
    <row r="429" spans="1:8">
      <c r="A429" s="367" t="s">
        <v>1142</v>
      </c>
      <c r="B429" s="367"/>
      <c r="C429" s="343">
        <f>3.1+2.85+7.8+4.52+4.7+3.7+1.1+2.75+0.8+7.61</f>
        <v>38.93</v>
      </c>
      <c r="D429" s="339" t="s">
        <v>32</v>
      </c>
      <c r="E429" s="337"/>
      <c r="F429" s="337"/>
      <c r="G429" s="337"/>
      <c r="H429" s="337"/>
    </row>
    <row r="430" spans="1:8">
      <c r="A430" s="367" t="s">
        <v>1062</v>
      </c>
      <c r="B430" s="367"/>
      <c r="C430" s="343">
        <f>SUM(C419:C429)</f>
        <v>93.740000000000009</v>
      </c>
      <c r="D430" s="339" t="s">
        <v>32</v>
      </c>
      <c r="E430" s="337"/>
      <c r="F430" s="337"/>
      <c r="G430" s="337"/>
      <c r="H430" s="337"/>
    </row>
    <row r="431" spans="1:8">
      <c r="C431" s="337"/>
      <c r="D431" s="337"/>
      <c r="E431" s="337"/>
      <c r="F431" s="337"/>
      <c r="G431" s="337"/>
      <c r="H431" s="337"/>
    </row>
    <row r="432" spans="1:8">
      <c r="A432" s="338" t="str">
        <f>'PLANILHA ORÇAMENTÁRIA'!B121</f>
        <v>10.2.1</v>
      </c>
      <c r="B432" s="338">
        <f>'PLANILHA ORÇAMENTÁRIA'!C121</f>
        <v>94990</v>
      </c>
      <c r="C432" s="366" t="str">
        <f>'PLANILHA ORÇAMENTÁRIA'!E121</f>
        <v>Piso cimentado desempenado traço 1:3 (cimento e areia), espessura 3cm</v>
      </c>
      <c r="D432" s="366"/>
      <c r="E432" s="366"/>
      <c r="F432" s="366"/>
      <c r="G432" s="366"/>
      <c r="H432" s="366"/>
    </row>
    <row r="433" spans="1:8">
      <c r="A433" s="367" t="s">
        <v>1143</v>
      </c>
      <c r="B433" s="367"/>
      <c r="C433" s="343">
        <f>13.25*2+10.7*2+3*4</f>
        <v>59.9</v>
      </c>
      <c r="D433" s="337" t="s">
        <v>32</v>
      </c>
      <c r="E433" s="337"/>
      <c r="F433" s="337"/>
      <c r="G433" s="337"/>
      <c r="H433" s="337"/>
    </row>
    <row r="434" spans="1:8">
      <c r="A434" s="367" t="s">
        <v>1071</v>
      </c>
      <c r="B434" s="367"/>
      <c r="C434" s="339">
        <v>0.5</v>
      </c>
      <c r="D434" s="337" t="s">
        <v>32</v>
      </c>
      <c r="E434" s="337"/>
      <c r="F434" s="337"/>
      <c r="G434" s="337"/>
      <c r="H434" s="337"/>
    </row>
    <row r="435" spans="1:8">
      <c r="A435" s="367" t="s">
        <v>1097</v>
      </c>
      <c r="B435" s="367"/>
      <c r="C435" s="339">
        <f>7/100</f>
        <v>7.0000000000000007E-2</v>
      </c>
      <c r="D435" s="337" t="s">
        <v>32</v>
      </c>
      <c r="E435" s="337"/>
      <c r="F435" s="337"/>
      <c r="G435" s="337"/>
      <c r="H435" s="337"/>
    </row>
    <row r="436" spans="1:8">
      <c r="A436" s="367" t="s">
        <v>1066</v>
      </c>
      <c r="B436" s="367"/>
      <c r="C436" s="339">
        <f>C435*C434*C433</f>
        <v>2.0965000000000003</v>
      </c>
      <c r="D436" s="337" t="s">
        <v>26</v>
      </c>
      <c r="E436" s="337"/>
      <c r="F436" s="337"/>
      <c r="G436" s="337"/>
      <c r="H436" s="337"/>
    </row>
    <row r="437" spans="1:8">
      <c r="C437" s="337"/>
      <c r="D437" s="337"/>
      <c r="E437" s="337"/>
      <c r="F437" s="337"/>
      <c r="G437" s="337"/>
      <c r="H437" s="337"/>
    </row>
    <row r="438" spans="1:8">
      <c r="A438" s="338" t="str">
        <f>'PLANILHA ORÇAMENTÁRIA'!B125</f>
        <v>11.1</v>
      </c>
      <c r="B438" s="341">
        <f>'PLANILHA ORÇAMENTÁRIA'!C125</f>
        <v>88485</v>
      </c>
      <c r="C438" s="366" t="str">
        <f>'PLANILHA ORÇAMENTÁRIA'!E125</f>
        <v>APLICAÇÃO DE FUNDO SELADOR ACRÍLICO EM PAREDES, UMA DEMÃO. AF_06/2014</v>
      </c>
      <c r="D438" s="366"/>
      <c r="E438" s="366"/>
      <c r="F438" s="366"/>
      <c r="G438" s="366"/>
      <c r="H438" s="366"/>
    </row>
    <row r="439" spans="1:8">
      <c r="A439" s="367" t="s">
        <v>1148</v>
      </c>
      <c r="B439" s="367"/>
      <c r="C439" s="337">
        <f>C366</f>
        <v>606.03</v>
      </c>
      <c r="D439" s="337" t="s">
        <v>28</v>
      </c>
      <c r="E439" s="337"/>
      <c r="F439" s="337"/>
      <c r="G439" s="337"/>
      <c r="H439" s="337"/>
    </row>
    <row r="440" spans="1:8">
      <c r="A440" s="367" t="s">
        <v>1149</v>
      </c>
      <c r="B440" s="367"/>
      <c r="C440" s="337">
        <f>C374</f>
        <v>66.960000000000008</v>
      </c>
      <c r="D440" s="337" t="s">
        <v>28</v>
      </c>
      <c r="E440" s="337"/>
      <c r="F440" s="337"/>
      <c r="G440" s="337"/>
      <c r="H440" s="337"/>
    </row>
    <row r="441" spans="1:8">
      <c r="A441" s="367" t="s">
        <v>1150</v>
      </c>
      <c r="B441" s="367"/>
      <c r="C441" s="337">
        <f>C439-C440</f>
        <v>539.06999999999994</v>
      </c>
      <c r="D441" s="337" t="s">
        <v>28</v>
      </c>
      <c r="E441" s="337"/>
      <c r="F441" s="337"/>
      <c r="G441" s="337"/>
      <c r="H441" s="337"/>
    </row>
    <row r="442" spans="1:8">
      <c r="C442" s="337"/>
      <c r="D442" s="337"/>
      <c r="E442" s="337"/>
      <c r="F442" s="337"/>
      <c r="G442" s="337"/>
      <c r="H442" s="337"/>
    </row>
    <row r="443" spans="1:8">
      <c r="A443" s="338" t="str">
        <f>'PLANILHA ORÇAMENTÁRIA'!B126</f>
        <v>11.2</v>
      </c>
      <c r="B443" s="341">
        <f>'PLANILHA ORÇAMENTÁRIA'!C126</f>
        <v>88489</v>
      </c>
      <c r="C443" s="366" t="str">
        <f>'PLANILHA ORÇAMENTÁRIA'!E126</f>
        <v>Pintura em látex acrílico sobre paredes internas, 2 demãos</v>
      </c>
      <c r="D443" s="366"/>
      <c r="E443" s="366"/>
      <c r="F443" s="366"/>
      <c r="G443" s="366"/>
      <c r="H443" s="366"/>
    </row>
    <row r="444" spans="1:8">
      <c r="A444" s="338" t="s">
        <v>1151</v>
      </c>
      <c r="C444" s="337"/>
      <c r="D444" s="337"/>
      <c r="E444" s="337"/>
      <c r="F444" s="337"/>
      <c r="G444" s="337"/>
      <c r="H444" s="337"/>
    </row>
    <row r="445" spans="1:8">
      <c r="C445" s="337"/>
      <c r="D445" s="337"/>
      <c r="E445" s="337"/>
      <c r="F445" s="337"/>
      <c r="G445" s="337"/>
      <c r="H445" s="337"/>
    </row>
    <row r="446" spans="1:8">
      <c r="A446" s="338" t="str">
        <f>'PLANILHA ORÇAMENTÁRIA'!B127</f>
        <v>11.3</v>
      </c>
      <c r="B446" s="341">
        <f>'PLANILHA ORÇAMENTÁRIA'!C127</f>
        <v>102218</v>
      </c>
      <c r="C446" s="366" t="str">
        <f>'PLANILHA ORÇAMENTÁRIA'!E127</f>
        <v>Pintura em esmalte sintético acetinado sobre esquadrias de madeira, 2 demãos</v>
      </c>
      <c r="D446" s="366"/>
      <c r="E446" s="366"/>
      <c r="F446" s="366"/>
      <c r="G446" s="366"/>
      <c r="H446" s="366"/>
    </row>
    <row r="447" spans="1:8">
      <c r="A447" s="338" t="s">
        <v>1152</v>
      </c>
      <c r="B447" s="341">
        <v>7</v>
      </c>
      <c r="C447" s="337" t="s">
        <v>322</v>
      </c>
      <c r="D447" s="337"/>
      <c r="E447" s="337"/>
      <c r="F447" s="337"/>
      <c r="G447" s="337"/>
      <c r="H447" s="337"/>
    </row>
    <row r="448" spans="1:8">
      <c r="A448" s="338" t="s">
        <v>1153</v>
      </c>
      <c r="B448" s="341">
        <v>2</v>
      </c>
      <c r="C448" s="337" t="s">
        <v>322</v>
      </c>
      <c r="D448" s="337"/>
      <c r="E448" s="337"/>
      <c r="F448" s="337"/>
      <c r="G448" s="337"/>
      <c r="H448" s="337"/>
    </row>
    <row r="449" spans="1:8">
      <c r="C449" s="337"/>
      <c r="D449" s="337"/>
      <c r="E449" s="337"/>
      <c r="F449" s="337"/>
      <c r="G449" s="337"/>
      <c r="H449" s="337"/>
    </row>
    <row r="450" spans="1:8">
      <c r="A450" s="338" t="s">
        <v>1154</v>
      </c>
      <c r="B450" s="341">
        <f>(0.8*2.1*3*B447)+(0.9*2.1*3*B448)</f>
        <v>46.620000000000005</v>
      </c>
      <c r="C450" s="337" t="s">
        <v>28</v>
      </c>
      <c r="D450" s="337"/>
      <c r="E450" s="337"/>
      <c r="F450" s="337"/>
      <c r="G450" s="337"/>
      <c r="H450" s="337"/>
    </row>
    <row r="451" spans="1:8">
      <c r="C451" s="337"/>
      <c r="D451" s="337"/>
      <c r="E451" s="337"/>
      <c r="F451" s="337"/>
      <c r="G451" s="337"/>
      <c r="H451" s="337"/>
    </row>
    <row r="452" spans="1:8">
      <c r="A452" s="338" t="str">
        <f>'PLANILHA ORÇAMENTÁRIA'!B128</f>
        <v>11.4</v>
      </c>
      <c r="B452" s="341">
        <f>'PLANILHA ORÇAMENTÁRIA'!C128</f>
        <v>88415</v>
      </c>
      <c r="C452" s="366" t="str">
        <f>'PLANILHA ORÇAMENTÁRIA'!E128</f>
        <v>APLICAÇÃO MANUAL DE FUNDO SELADOR ACRÍLICO EM PAREDES EXTERNAS DE CASAS</v>
      </c>
      <c r="D452" s="366"/>
      <c r="E452" s="366"/>
      <c r="F452" s="366"/>
      <c r="G452" s="366"/>
      <c r="H452" s="366"/>
    </row>
    <row r="453" spans="1:8">
      <c r="A453" s="338" t="s">
        <v>1156</v>
      </c>
      <c r="B453" s="343">
        <f>13.25*2+10.63*2</f>
        <v>47.760000000000005</v>
      </c>
      <c r="C453" s="337" t="s">
        <v>32</v>
      </c>
      <c r="D453" s="337"/>
      <c r="E453" s="337"/>
      <c r="F453" s="337"/>
      <c r="G453" s="337"/>
      <c r="H453" s="337"/>
    </row>
    <row r="454" spans="1:8">
      <c r="A454" s="338" t="s">
        <v>1056</v>
      </c>
      <c r="B454" s="343">
        <v>3.2</v>
      </c>
      <c r="C454" s="337" t="s">
        <v>32</v>
      </c>
      <c r="D454" s="337"/>
      <c r="E454" s="337"/>
      <c r="F454" s="337"/>
      <c r="G454" s="337"/>
      <c r="H454" s="337"/>
    </row>
    <row r="455" spans="1:8">
      <c r="A455" s="338" t="s">
        <v>1057</v>
      </c>
      <c r="B455" s="343">
        <f>B454*B453</f>
        <v>152.83200000000002</v>
      </c>
      <c r="C455" s="337" t="s">
        <v>28</v>
      </c>
      <c r="D455" s="337"/>
      <c r="E455" s="337"/>
      <c r="F455" s="337"/>
      <c r="G455" s="337"/>
      <c r="H455" s="337"/>
    </row>
    <row r="456" spans="1:8">
      <c r="C456" s="337"/>
      <c r="D456" s="337"/>
      <c r="E456" s="337"/>
      <c r="F456" s="337"/>
      <c r="G456" s="337"/>
      <c r="H456" s="337"/>
    </row>
    <row r="457" spans="1:8">
      <c r="A457" s="338" t="str">
        <f>'PLANILHA ORÇAMENTÁRIA'!B129</f>
        <v>11.5</v>
      </c>
      <c r="B457" s="341">
        <f>'PLANILHA ORÇAMENTÁRIA'!C129</f>
        <v>95305</v>
      </c>
      <c r="C457" s="366" t="str">
        <f>'PLANILHA ORÇAMENTÁRIA'!E129</f>
        <v>Textura acrilica externa 2 demão</v>
      </c>
      <c r="D457" s="366"/>
      <c r="E457" s="366"/>
      <c r="F457" s="366"/>
      <c r="G457" s="366"/>
      <c r="H457" s="366"/>
    </row>
    <row r="458" spans="1:8">
      <c r="A458" s="338" t="s">
        <v>1155</v>
      </c>
      <c r="B458" s="343">
        <f>B455</f>
        <v>152.83200000000002</v>
      </c>
      <c r="C458" s="340" t="str">
        <f>C455</f>
        <v>m²</v>
      </c>
      <c r="D458" s="340"/>
      <c r="E458" s="340"/>
      <c r="F458" s="340"/>
      <c r="G458" s="340"/>
      <c r="H458" s="340"/>
    </row>
    <row r="459" spans="1:8">
      <c r="C459" s="337"/>
      <c r="D459" s="337"/>
      <c r="E459" s="337"/>
      <c r="F459" s="337"/>
      <c r="G459" s="337"/>
      <c r="H459" s="337"/>
    </row>
    <row r="463" spans="1:8">
      <c r="A463" s="354"/>
      <c r="B463" s="355" t="s">
        <v>1186</v>
      </c>
      <c r="C463" s="356"/>
      <c r="D463" s="357"/>
    </row>
    <row r="464" spans="1:8">
      <c r="A464" s="354"/>
      <c r="B464" s="355" t="s">
        <v>1187</v>
      </c>
      <c r="C464" s="356"/>
      <c r="D464" s="357"/>
    </row>
    <row r="465" spans="1:4">
      <c r="A465" s="354"/>
      <c r="B465" s="355"/>
      <c r="C465" s="356"/>
      <c r="D465" s="357"/>
    </row>
  </sheetData>
  <mergeCells count="315">
    <mergeCell ref="A1:H1"/>
    <mergeCell ref="A338:B338"/>
    <mergeCell ref="A340:B340"/>
    <mergeCell ref="C328:H328"/>
    <mergeCell ref="A329:B329"/>
    <mergeCell ref="A330:B330"/>
    <mergeCell ref="A331:B331"/>
    <mergeCell ref="A332:B332"/>
    <mergeCell ref="A334:B334"/>
    <mergeCell ref="A335:B335"/>
    <mergeCell ref="A336:B336"/>
    <mergeCell ref="A337:B337"/>
    <mergeCell ref="C294:H294"/>
    <mergeCell ref="C297:H297"/>
    <mergeCell ref="C300:H300"/>
    <mergeCell ref="C303:H303"/>
    <mergeCell ref="C316:H316"/>
    <mergeCell ref="A317:B317"/>
    <mergeCell ref="C319:H319"/>
    <mergeCell ref="C322:H322"/>
    <mergeCell ref="C325:H325"/>
    <mergeCell ref="A320:B320"/>
    <mergeCell ref="A323:B323"/>
    <mergeCell ref="A287:B287"/>
    <mergeCell ref="A288:B288"/>
    <mergeCell ref="A289:B289"/>
    <mergeCell ref="A290:B290"/>
    <mergeCell ref="A292:B292"/>
    <mergeCell ref="A255:B255"/>
    <mergeCell ref="D259:H259"/>
    <mergeCell ref="A260:B260"/>
    <mergeCell ref="A261:B261"/>
    <mergeCell ref="A262:B262"/>
    <mergeCell ref="A264:B264"/>
    <mergeCell ref="A263:B263"/>
    <mergeCell ref="D266:H266"/>
    <mergeCell ref="A267:B267"/>
    <mergeCell ref="A268:B268"/>
    <mergeCell ref="A269:B269"/>
    <mergeCell ref="A270:B270"/>
    <mergeCell ref="D272:H272"/>
    <mergeCell ref="D275:H275"/>
    <mergeCell ref="D282:H282"/>
    <mergeCell ref="A283:B283"/>
    <mergeCell ref="A284:B284"/>
    <mergeCell ref="A285:B285"/>
    <mergeCell ref="A246:B246"/>
    <mergeCell ref="A247:B247"/>
    <mergeCell ref="A248:B248"/>
    <mergeCell ref="A249:B249"/>
    <mergeCell ref="D251:H251"/>
    <mergeCell ref="A252:B252"/>
    <mergeCell ref="A253:B253"/>
    <mergeCell ref="A254:B254"/>
    <mergeCell ref="A208:B208"/>
    <mergeCell ref="A209:B209"/>
    <mergeCell ref="A210:B210"/>
    <mergeCell ref="D229:H229"/>
    <mergeCell ref="D236:H236"/>
    <mergeCell ref="D239:H239"/>
    <mergeCell ref="D245:H245"/>
    <mergeCell ref="A223:B223"/>
    <mergeCell ref="A224:B224"/>
    <mergeCell ref="A225:B225"/>
    <mergeCell ref="A226:B226"/>
    <mergeCell ref="A227:B227"/>
    <mergeCell ref="A230:B230"/>
    <mergeCell ref="A231:B231"/>
    <mergeCell ref="A233:B233"/>
    <mergeCell ref="A234:B234"/>
    <mergeCell ref="A198:B198"/>
    <mergeCell ref="A199:B199"/>
    <mergeCell ref="A200:B200"/>
    <mergeCell ref="A201:B201"/>
    <mergeCell ref="A202:B202"/>
    <mergeCell ref="A207:B207"/>
    <mergeCell ref="A188:B188"/>
    <mergeCell ref="A191:B191"/>
    <mergeCell ref="A192:B192"/>
    <mergeCell ref="A193:B193"/>
    <mergeCell ref="A194:B194"/>
    <mergeCell ref="A195:B195"/>
    <mergeCell ref="A180:B180"/>
    <mergeCell ref="A181:B181"/>
    <mergeCell ref="A184:B184"/>
    <mergeCell ref="A185:B185"/>
    <mergeCell ref="A186:B186"/>
    <mergeCell ref="A187:B187"/>
    <mergeCell ref="A173:B173"/>
    <mergeCell ref="A174:B174"/>
    <mergeCell ref="A177:B177"/>
    <mergeCell ref="A178:B178"/>
    <mergeCell ref="A179:B179"/>
    <mergeCell ref="A138:B138"/>
    <mergeCell ref="A142:B142"/>
    <mergeCell ref="A145:B145"/>
    <mergeCell ref="A149:B149"/>
    <mergeCell ref="A150:B150"/>
    <mergeCell ref="A151:B151"/>
    <mergeCell ref="A152:B152"/>
    <mergeCell ref="A156:B156"/>
    <mergeCell ref="A167:B167"/>
    <mergeCell ref="A165:B165"/>
    <mergeCell ref="A166:B166"/>
    <mergeCell ref="A162:B162"/>
    <mergeCell ref="A104:B104"/>
    <mergeCell ref="A119:B119"/>
    <mergeCell ref="A168:B168"/>
    <mergeCell ref="A171:B171"/>
    <mergeCell ref="A172:B172"/>
    <mergeCell ref="A127:B127"/>
    <mergeCell ref="A102:B102"/>
    <mergeCell ref="A113:B113"/>
    <mergeCell ref="A114:B114"/>
    <mergeCell ref="A115:B115"/>
    <mergeCell ref="A118:B118"/>
    <mergeCell ref="A105:B105"/>
    <mergeCell ref="A106:B106"/>
    <mergeCell ref="A107:B107"/>
    <mergeCell ref="A163:B163"/>
    <mergeCell ref="A148:B148"/>
    <mergeCell ref="A155:B155"/>
    <mergeCell ref="A157:B157"/>
    <mergeCell ref="A158:B158"/>
    <mergeCell ref="A159:B159"/>
    <mergeCell ref="A135:B135"/>
    <mergeCell ref="A133:B133"/>
    <mergeCell ref="A134:B134"/>
    <mergeCell ref="A141:B141"/>
    <mergeCell ref="A65:B65"/>
    <mergeCell ref="A68:B68"/>
    <mergeCell ref="A143:B143"/>
    <mergeCell ref="A144:B144"/>
    <mergeCell ref="A136:B136"/>
    <mergeCell ref="A137:B137"/>
    <mergeCell ref="D161:H161"/>
    <mergeCell ref="A78:B78"/>
    <mergeCell ref="A79:B79"/>
    <mergeCell ref="A80:B80"/>
    <mergeCell ref="A81:B81"/>
    <mergeCell ref="A82:B82"/>
    <mergeCell ref="A84:B84"/>
    <mergeCell ref="A91:B91"/>
    <mergeCell ref="A121:B121"/>
    <mergeCell ref="A122:B122"/>
    <mergeCell ref="A110:B110"/>
    <mergeCell ref="A128:B128"/>
    <mergeCell ref="A129:B129"/>
    <mergeCell ref="A130:B130"/>
    <mergeCell ref="A92:B92"/>
    <mergeCell ref="A93:B93"/>
    <mergeCell ref="A94:B94"/>
    <mergeCell ref="A96:B96"/>
    <mergeCell ref="D140:H140"/>
    <mergeCell ref="D147:H147"/>
    <mergeCell ref="A120:B120"/>
    <mergeCell ref="A125:B125"/>
    <mergeCell ref="A126:B126"/>
    <mergeCell ref="D3:H3"/>
    <mergeCell ref="D8:H8"/>
    <mergeCell ref="D14:H14"/>
    <mergeCell ref="D20:H20"/>
    <mergeCell ref="D62:H62"/>
    <mergeCell ref="D67:H67"/>
    <mergeCell ref="A108:B108"/>
    <mergeCell ref="A4:B4"/>
    <mergeCell ref="A5:B5"/>
    <mergeCell ref="A6:B6"/>
    <mergeCell ref="A10:B10"/>
    <mergeCell ref="A11:B11"/>
    <mergeCell ref="A12:B12"/>
    <mergeCell ref="A70:B70"/>
    <mergeCell ref="A73:B73"/>
    <mergeCell ref="A74:B74"/>
    <mergeCell ref="A26:B26"/>
    <mergeCell ref="A63:B63"/>
    <mergeCell ref="A64:B64"/>
    <mergeCell ref="A218:B218"/>
    <mergeCell ref="A219:B219"/>
    <mergeCell ref="D222:H222"/>
    <mergeCell ref="D86:H86"/>
    <mergeCell ref="D98:H98"/>
    <mergeCell ref="D112:H112"/>
    <mergeCell ref="D117:H117"/>
    <mergeCell ref="D124:H124"/>
    <mergeCell ref="D154:H154"/>
    <mergeCell ref="D203:H203"/>
    <mergeCell ref="D206:H206"/>
    <mergeCell ref="A87:B87"/>
    <mergeCell ref="A88:B88"/>
    <mergeCell ref="A89:B89"/>
    <mergeCell ref="A99:B99"/>
    <mergeCell ref="A100:B100"/>
    <mergeCell ref="A101:B101"/>
    <mergeCell ref="D164:H164"/>
    <mergeCell ref="D170:H170"/>
    <mergeCell ref="D176:H176"/>
    <mergeCell ref="D183:H183"/>
    <mergeCell ref="D190:H190"/>
    <mergeCell ref="D197:H197"/>
    <mergeCell ref="D132:H132"/>
    <mergeCell ref="A232:B232"/>
    <mergeCell ref="A240:B240"/>
    <mergeCell ref="A241:B241"/>
    <mergeCell ref="A242:B242"/>
    <mergeCell ref="A243:B243"/>
    <mergeCell ref="A244:B244"/>
    <mergeCell ref="C342:H342"/>
    <mergeCell ref="C355:H355"/>
    <mergeCell ref="A16:B16"/>
    <mergeCell ref="A17:B17"/>
    <mergeCell ref="A18:B18"/>
    <mergeCell ref="A21:B21"/>
    <mergeCell ref="A22:B22"/>
    <mergeCell ref="A23:B23"/>
    <mergeCell ref="A75:B75"/>
    <mergeCell ref="A76:B76"/>
    <mergeCell ref="D25:H25"/>
    <mergeCell ref="D72:H72"/>
    <mergeCell ref="A69:B69"/>
    <mergeCell ref="D214:H214"/>
    <mergeCell ref="A211:B211"/>
    <mergeCell ref="A215:B215"/>
    <mergeCell ref="A216:B216"/>
    <mergeCell ref="A217:B217"/>
    <mergeCell ref="C368:H368"/>
    <mergeCell ref="A356:B356"/>
    <mergeCell ref="A357:B357"/>
    <mergeCell ref="A358:B358"/>
    <mergeCell ref="A360:B360"/>
    <mergeCell ref="A361:B361"/>
    <mergeCell ref="A362:B362"/>
    <mergeCell ref="A363:B363"/>
    <mergeCell ref="A365:B365"/>
    <mergeCell ref="A366:B366"/>
    <mergeCell ref="A372:B372"/>
    <mergeCell ref="A373:B373"/>
    <mergeCell ref="A343:B343"/>
    <mergeCell ref="A344:B344"/>
    <mergeCell ref="A345:B345"/>
    <mergeCell ref="A347:B347"/>
    <mergeCell ref="A348:B348"/>
    <mergeCell ref="A349:B349"/>
    <mergeCell ref="A350:B350"/>
    <mergeCell ref="A352:B352"/>
    <mergeCell ref="A353:B353"/>
    <mergeCell ref="A369:B369"/>
    <mergeCell ref="A370:B370"/>
    <mergeCell ref="A371:B371"/>
    <mergeCell ref="A399:B399"/>
    <mergeCell ref="A400:B400"/>
    <mergeCell ref="A402:B402"/>
    <mergeCell ref="A406:B406"/>
    <mergeCell ref="A407:B407"/>
    <mergeCell ref="A408:B408"/>
    <mergeCell ref="A409:B409"/>
    <mergeCell ref="C376:H376"/>
    <mergeCell ref="A377:B377"/>
    <mergeCell ref="A378:B378"/>
    <mergeCell ref="A379:B379"/>
    <mergeCell ref="A380:B380"/>
    <mergeCell ref="A374:B374"/>
    <mergeCell ref="A391:B391"/>
    <mergeCell ref="A392:B392"/>
    <mergeCell ref="A393:B393"/>
    <mergeCell ref="A394:B394"/>
    <mergeCell ref="A395:B395"/>
    <mergeCell ref="A396:B396"/>
    <mergeCell ref="A397:B397"/>
    <mergeCell ref="A398:B398"/>
    <mergeCell ref="A381:B381"/>
    <mergeCell ref="A382:B382"/>
    <mergeCell ref="A383:B383"/>
    <mergeCell ref="A384:B384"/>
    <mergeCell ref="A385:B385"/>
    <mergeCell ref="A386:B386"/>
    <mergeCell ref="A387:B387"/>
    <mergeCell ref="A388:B388"/>
    <mergeCell ref="C438:H438"/>
    <mergeCell ref="A427:B427"/>
    <mergeCell ref="A428:B428"/>
    <mergeCell ref="A430:B430"/>
    <mergeCell ref="A405:B405"/>
    <mergeCell ref="A419:B419"/>
    <mergeCell ref="A410:B410"/>
    <mergeCell ref="A411:B411"/>
    <mergeCell ref="A412:B412"/>
    <mergeCell ref="A413:B413"/>
    <mergeCell ref="A414:B414"/>
    <mergeCell ref="A416:B416"/>
    <mergeCell ref="A420:B420"/>
    <mergeCell ref="A421:B421"/>
    <mergeCell ref="A422:B422"/>
    <mergeCell ref="C390:H390"/>
    <mergeCell ref="C443:H443"/>
    <mergeCell ref="C446:H446"/>
    <mergeCell ref="C452:H452"/>
    <mergeCell ref="C457:H457"/>
    <mergeCell ref="A439:B439"/>
    <mergeCell ref="A440:B440"/>
    <mergeCell ref="A441:B441"/>
    <mergeCell ref="A401:B401"/>
    <mergeCell ref="A415:B415"/>
    <mergeCell ref="A429:B429"/>
    <mergeCell ref="C432:H432"/>
    <mergeCell ref="A433:B433"/>
    <mergeCell ref="A434:B434"/>
    <mergeCell ref="A435:B435"/>
    <mergeCell ref="A436:B436"/>
    <mergeCell ref="A423:B423"/>
    <mergeCell ref="A424:B424"/>
    <mergeCell ref="A425:B425"/>
    <mergeCell ref="A426:B426"/>
    <mergeCell ref="C404:H404"/>
    <mergeCell ref="C418:H418"/>
  </mergeCells>
  <pageMargins left="0.51181102362204722" right="0.51181102362204722" top="0.78740157480314965" bottom="0.78740157480314965" header="0.31496062992125984" footer="0.31496062992125984"/>
  <pageSetup paperSize="9" scale="78" orientation="portrait" horizontalDpi="360" verticalDpi="360" r:id="rId1"/>
  <rowBreaks count="6" manualBreakCount="6">
    <brk id="85" max="7" man="1"/>
    <brk id="139" max="7" man="1"/>
    <brk id="250" max="7" man="1"/>
    <brk id="302" max="7" man="1"/>
    <brk id="354" max="7" man="1"/>
    <brk id="417" max="7"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topLeftCell="A23" zoomScale="80" zoomScaleNormal="80" zoomScaleSheetLayoutView="70" workbookViewId="0">
      <selection activeCell="F40" sqref="F40"/>
    </sheetView>
  </sheetViews>
  <sheetFormatPr defaultRowHeight="13.2"/>
  <cols>
    <col min="1" max="1" width="9" style="31"/>
    <col min="2" max="2" width="60" style="31" customWidth="1"/>
    <col min="3" max="3" width="14" style="31" customWidth="1"/>
    <col min="4" max="4" width="9.19921875" style="31" bestFit="1" customWidth="1"/>
    <col min="5" max="5" width="11.19921875" style="31" customWidth="1"/>
    <col min="6" max="8" width="12.59765625" style="31" customWidth="1"/>
    <col min="9" max="9" width="10.5" style="31" customWidth="1"/>
    <col min="10" max="257" width="9" style="31"/>
    <col min="258" max="258" width="60" style="31" customWidth="1"/>
    <col min="259" max="259" width="14" style="31" customWidth="1"/>
    <col min="260" max="260" width="9.19921875" style="31" bestFit="1" customWidth="1"/>
    <col min="261" max="261" width="11.19921875" style="31" customWidth="1"/>
    <col min="262" max="264" width="12.59765625" style="31" customWidth="1"/>
    <col min="265" max="265" width="10.5" style="31" customWidth="1"/>
    <col min="266" max="513" width="9" style="31"/>
    <col min="514" max="514" width="60" style="31" customWidth="1"/>
    <col min="515" max="515" width="14" style="31" customWidth="1"/>
    <col min="516" max="516" width="9.19921875" style="31" bestFit="1" customWidth="1"/>
    <col min="517" max="517" width="11.19921875" style="31" customWidth="1"/>
    <col min="518" max="520" width="12.59765625" style="31" customWidth="1"/>
    <col min="521" max="521" width="10.5" style="31" customWidth="1"/>
    <col min="522" max="769" width="9" style="31"/>
    <col min="770" max="770" width="60" style="31" customWidth="1"/>
    <col min="771" max="771" width="14" style="31" customWidth="1"/>
    <col min="772" max="772" width="9.19921875" style="31" bestFit="1" customWidth="1"/>
    <col min="773" max="773" width="11.19921875" style="31" customWidth="1"/>
    <col min="774" max="776" width="12.59765625" style="31" customWidth="1"/>
    <col min="777" max="777" width="10.5" style="31" customWidth="1"/>
    <col min="778" max="1025" width="9" style="31"/>
    <col min="1026" max="1026" width="60" style="31" customWidth="1"/>
    <col min="1027" max="1027" width="14" style="31" customWidth="1"/>
    <col min="1028" max="1028" width="9.19921875" style="31" bestFit="1" customWidth="1"/>
    <col min="1029" max="1029" width="11.19921875" style="31" customWidth="1"/>
    <col min="1030" max="1032" width="12.59765625" style="31" customWidth="1"/>
    <col min="1033" max="1033" width="10.5" style="31" customWidth="1"/>
    <col min="1034" max="1281" width="9" style="31"/>
    <col min="1282" max="1282" width="60" style="31" customWidth="1"/>
    <col min="1283" max="1283" width="14" style="31" customWidth="1"/>
    <col min="1284" max="1284" width="9.19921875" style="31" bestFit="1" customWidth="1"/>
    <col min="1285" max="1285" width="11.19921875" style="31" customWidth="1"/>
    <col min="1286" max="1288" width="12.59765625" style="31" customWidth="1"/>
    <col min="1289" max="1289" width="10.5" style="31" customWidth="1"/>
    <col min="1290" max="1537" width="9" style="31"/>
    <col min="1538" max="1538" width="60" style="31" customWidth="1"/>
    <col min="1539" max="1539" width="14" style="31" customWidth="1"/>
    <col min="1540" max="1540" width="9.19921875" style="31" bestFit="1" customWidth="1"/>
    <col min="1541" max="1541" width="11.19921875" style="31" customWidth="1"/>
    <col min="1542" max="1544" width="12.59765625" style="31" customWidth="1"/>
    <col min="1545" max="1545" width="10.5" style="31" customWidth="1"/>
    <col min="1546" max="1793" width="9" style="31"/>
    <col min="1794" max="1794" width="60" style="31" customWidth="1"/>
    <col min="1795" max="1795" width="14" style="31" customWidth="1"/>
    <col min="1796" max="1796" width="9.19921875" style="31" bestFit="1" customWidth="1"/>
    <col min="1797" max="1797" width="11.19921875" style="31" customWidth="1"/>
    <col min="1798" max="1800" width="12.59765625" style="31" customWidth="1"/>
    <col min="1801" max="1801" width="10.5" style="31" customWidth="1"/>
    <col min="1802" max="2049" width="9" style="31"/>
    <col min="2050" max="2050" width="60" style="31" customWidth="1"/>
    <col min="2051" max="2051" width="14" style="31" customWidth="1"/>
    <col min="2052" max="2052" width="9.19921875" style="31" bestFit="1" customWidth="1"/>
    <col min="2053" max="2053" width="11.19921875" style="31" customWidth="1"/>
    <col min="2054" max="2056" width="12.59765625" style="31" customWidth="1"/>
    <col min="2057" max="2057" width="10.5" style="31" customWidth="1"/>
    <col min="2058" max="2305" width="9" style="31"/>
    <col min="2306" max="2306" width="60" style="31" customWidth="1"/>
    <col min="2307" max="2307" width="14" style="31" customWidth="1"/>
    <col min="2308" max="2308" width="9.19921875" style="31" bestFit="1" customWidth="1"/>
    <col min="2309" max="2309" width="11.19921875" style="31" customWidth="1"/>
    <col min="2310" max="2312" width="12.59765625" style="31" customWidth="1"/>
    <col min="2313" max="2313" width="10.5" style="31" customWidth="1"/>
    <col min="2314" max="2561" width="9" style="31"/>
    <col min="2562" max="2562" width="60" style="31" customWidth="1"/>
    <col min="2563" max="2563" width="14" style="31" customWidth="1"/>
    <col min="2564" max="2564" width="9.19921875" style="31" bestFit="1" customWidth="1"/>
    <col min="2565" max="2565" width="11.19921875" style="31" customWidth="1"/>
    <col min="2566" max="2568" width="12.59765625" style="31" customWidth="1"/>
    <col min="2569" max="2569" width="10.5" style="31" customWidth="1"/>
    <col min="2570" max="2817" width="9" style="31"/>
    <col min="2818" max="2818" width="60" style="31" customWidth="1"/>
    <col min="2819" max="2819" width="14" style="31" customWidth="1"/>
    <col min="2820" max="2820" width="9.19921875" style="31" bestFit="1" customWidth="1"/>
    <col min="2821" max="2821" width="11.19921875" style="31" customWidth="1"/>
    <col min="2822" max="2824" width="12.59765625" style="31" customWidth="1"/>
    <col min="2825" max="2825" width="10.5" style="31" customWidth="1"/>
    <col min="2826" max="3073" width="9" style="31"/>
    <col min="3074" max="3074" width="60" style="31" customWidth="1"/>
    <col min="3075" max="3075" width="14" style="31" customWidth="1"/>
    <col min="3076" max="3076" width="9.19921875" style="31" bestFit="1" customWidth="1"/>
    <col min="3077" max="3077" width="11.19921875" style="31" customWidth="1"/>
    <col min="3078" max="3080" width="12.59765625" style="31" customWidth="1"/>
    <col min="3081" max="3081" width="10.5" style="31" customWidth="1"/>
    <col min="3082" max="3329" width="9" style="31"/>
    <col min="3330" max="3330" width="60" style="31" customWidth="1"/>
    <col min="3331" max="3331" width="14" style="31" customWidth="1"/>
    <col min="3332" max="3332" width="9.19921875" style="31" bestFit="1" customWidth="1"/>
    <col min="3333" max="3333" width="11.19921875" style="31" customWidth="1"/>
    <col min="3334" max="3336" width="12.59765625" style="31" customWidth="1"/>
    <col min="3337" max="3337" width="10.5" style="31" customWidth="1"/>
    <col min="3338" max="3585" width="9" style="31"/>
    <col min="3586" max="3586" width="60" style="31" customWidth="1"/>
    <col min="3587" max="3587" width="14" style="31" customWidth="1"/>
    <col min="3588" max="3588" width="9.19921875" style="31" bestFit="1" customWidth="1"/>
    <col min="3589" max="3589" width="11.19921875" style="31" customWidth="1"/>
    <col min="3590" max="3592" width="12.59765625" style="31" customWidth="1"/>
    <col min="3593" max="3593" width="10.5" style="31" customWidth="1"/>
    <col min="3594" max="3841" width="9" style="31"/>
    <col min="3842" max="3842" width="60" style="31" customWidth="1"/>
    <col min="3843" max="3843" width="14" style="31" customWidth="1"/>
    <col min="3844" max="3844" width="9.19921875" style="31" bestFit="1" customWidth="1"/>
    <col min="3845" max="3845" width="11.19921875" style="31" customWidth="1"/>
    <col min="3846" max="3848" width="12.59765625" style="31" customWidth="1"/>
    <col min="3849" max="3849" width="10.5" style="31" customWidth="1"/>
    <col min="3850" max="4097" width="9" style="31"/>
    <col min="4098" max="4098" width="60" style="31" customWidth="1"/>
    <col min="4099" max="4099" width="14" style="31" customWidth="1"/>
    <col min="4100" max="4100" width="9.19921875" style="31" bestFit="1" customWidth="1"/>
    <col min="4101" max="4101" width="11.19921875" style="31" customWidth="1"/>
    <col min="4102" max="4104" width="12.59765625" style="31" customWidth="1"/>
    <col min="4105" max="4105" width="10.5" style="31" customWidth="1"/>
    <col min="4106" max="4353" width="9" style="31"/>
    <col min="4354" max="4354" width="60" style="31" customWidth="1"/>
    <col min="4355" max="4355" width="14" style="31" customWidth="1"/>
    <col min="4356" max="4356" width="9.19921875" style="31" bestFit="1" customWidth="1"/>
    <col min="4357" max="4357" width="11.19921875" style="31" customWidth="1"/>
    <col min="4358" max="4360" width="12.59765625" style="31" customWidth="1"/>
    <col min="4361" max="4361" width="10.5" style="31" customWidth="1"/>
    <col min="4362" max="4609" width="9" style="31"/>
    <col min="4610" max="4610" width="60" style="31" customWidth="1"/>
    <col min="4611" max="4611" width="14" style="31" customWidth="1"/>
    <col min="4612" max="4612" width="9.19921875" style="31" bestFit="1" customWidth="1"/>
    <col min="4613" max="4613" width="11.19921875" style="31" customWidth="1"/>
    <col min="4614" max="4616" width="12.59765625" style="31" customWidth="1"/>
    <col min="4617" max="4617" width="10.5" style="31" customWidth="1"/>
    <col min="4618" max="4865" width="9" style="31"/>
    <col min="4866" max="4866" width="60" style="31" customWidth="1"/>
    <col min="4867" max="4867" width="14" style="31" customWidth="1"/>
    <col min="4868" max="4868" width="9.19921875" style="31" bestFit="1" customWidth="1"/>
    <col min="4869" max="4869" width="11.19921875" style="31" customWidth="1"/>
    <col min="4870" max="4872" width="12.59765625" style="31" customWidth="1"/>
    <col min="4873" max="4873" width="10.5" style="31" customWidth="1"/>
    <col min="4874" max="5121" width="9" style="31"/>
    <col min="5122" max="5122" width="60" style="31" customWidth="1"/>
    <col min="5123" max="5123" width="14" style="31" customWidth="1"/>
    <col min="5124" max="5124" width="9.19921875" style="31" bestFit="1" customWidth="1"/>
    <col min="5125" max="5125" width="11.19921875" style="31" customWidth="1"/>
    <col min="5126" max="5128" width="12.59765625" style="31" customWidth="1"/>
    <col min="5129" max="5129" width="10.5" style="31" customWidth="1"/>
    <col min="5130" max="5377" width="9" style="31"/>
    <col min="5378" max="5378" width="60" style="31" customWidth="1"/>
    <col min="5379" max="5379" width="14" style="31" customWidth="1"/>
    <col min="5380" max="5380" width="9.19921875" style="31" bestFit="1" customWidth="1"/>
    <col min="5381" max="5381" width="11.19921875" style="31" customWidth="1"/>
    <col min="5382" max="5384" width="12.59765625" style="31" customWidth="1"/>
    <col min="5385" max="5385" width="10.5" style="31" customWidth="1"/>
    <col min="5386" max="5633" width="9" style="31"/>
    <col min="5634" max="5634" width="60" style="31" customWidth="1"/>
    <col min="5635" max="5635" width="14" style="31" customWidth="1"/>
    <col min="5636" max="5636" width="9.19921875" style="31" bestFit="1" customWidth="1"/>
    <col min="5637" max="5637" width="11.19921875" style="31" customWidth="1"/>
    <col min="5638" max="5640" width="12.59765625" style="31" customWidth="1"/>
    <col min="5641" max="5641" width="10.5" style="31" customWidth="1"/>
    <col min="5642" max="5889" width="9" style="31"/>
    <col min="5890" max="5890" width="60" style="31" customWidth="1"/>
    <col min="5891" max="5891" width="14" style="31" customWidth="1"/>
    <col min="5892" max="5892" width="9.19921875" style="31" bestFit="1" customWidth="1"/>
    <col min="5893" max="5893" width="11.19921875" style="31" customWidth="1"/>
    <col min="5894" max="5896" width="12.59765625" style="31" customWidth="1"/>
    <col min="5897" max="5897" width="10.5" style="31" customWidth="1"/>
    <col min="5898" max="6145" width="9" style="31"/>
    <col min="6146" max="6146" width="60" style="31" customWidth="1"/>
    <col min="6147" max="6147" width="14" style="31" customWidth="1"/>
    <col min="6148" max="6148" width="9.19921875" style="31" bestFit="1" customWidth="1"/>
    <col min="6149" max="6149" width="11.19921875" style="31" customWidth="1"/>
    <col min="6150" max="6152" width="12.59765625" style="31" customWidth="1"/>
    <col min="6153" max="6153" width="10.5" style="31" customWidth="1"/>
    <col min="6154" max="6401" width="9" style="31"/>
    <col min="6402" max="6402" width="60" style="31" customWidth="1"/>
    <col min="6403" max="6403" width="14" style="31" customWidth="1"/>
    <col min="6404" max="6404" width="9.19921875" style="31" bestFit="1" customWidth="1"/>
    <col min="6405" max="6405" width="11.19921875" style="31" customWidth="1"/>
    <col min="6406" max="6408" width="12.59765625" style="31" customWidth="1"/>
    <col min="6409" max="6409" width="10.5" style="31" customWidth="1"/>
    <col min="6410" max="6657" width="9" style="31"/>
    <col min="6658" max="6658" width="60" style="31" customWidth="1"/>
    <col min="6659" max="6659" width="14" style="31" customWidth="1"/>
    <col min="6660" max="6660" width="9.19921875" style="31" bestFit="1" customWidth="1"/>
    <col min="6661" max="6661" width="11.19921875" style="31" customWidth="1"/>
    <col min="6662" max="6664" width="12.59765625" style="31" customWidth="1"/>
    <col min="6665" max="6665" width="10.5" style="31" customWidth="1"/>
    <col min="6666" max="6913" width="9" style="31"/>
    <col min="6914" max="6914" width="60" style="31" customWidth="1"/>
    <col min="6915" max="6915" width="14" style="31" customWidth="1"/>
    <col min="6916" max="6916" width="9.19921875" style="31" bestFit="1" customWidth="1"/>
    <col min="6917" max="6917" width="11.19921875" style="31" customWidth="1"/>
    <col min="6918" max="6920" width="12.59765625" style="31" customWidth="1"/>
    <col min="6921" max="6921" width="10.5" style="31" customWidth="1"/>
    <col min="6922" max="7169" width="9" style="31"/>
    <col min="7170" max="7170" width="60" style="31" customWidth="1"/>
    <col min="7171" max="7171" width="14" style="31" customWidth="1"/>
    <col min="7172" max="7172" width="9.19921875" style="31" bestFit="1" customWidth="1"/>
    <col min="7173" max="7173" width="11.19921875" style="31" customWidth="1"/>
    <col min="7174" max="7176" width="12.59765625" style="31" customWidth="1"/>
    <col min="7177" max="7177" width="10.5" style="31" customWidth="1"/>
    <col min="7178" max="7425" width="9" style="31"/>
    <col min="7426" max="7426" width="60" style="31" customWidth="1"/>
    <col min="7427" max="7427" width="14" style="31" customWidth="1"/>
    <col min="7428" max="7428" width="9.19921875" style="31" bestFit="1" customWidth="1"/>
    <col min="7429" max="7429" width="11.19921875" style="31" customWidth="1"/>
    <col min="7430" max="7432" width="12.59765625" style="31" customWidth="1"/>
    <col min="7433" max="7433" width="10.5" style="31" customWidth="1"/>
    <col min="7434" max="7681" width="9" style="31"/>
    <col min="7682" max="7682" width="60" style="31" customWidth="1"/>
    <col min="7683" max="7683" width="14" style="31" customWidth="1"/>
    <col min="7684" max="7684" width="9.19921875" style="31" bestFit="1" customWidth="1"/>
    <col min="7685" max="7685" width="11.19921875" style="31" customWidth="1"/>
    <col min="7686" max="7688" width="12.59765625" style="31" customWidth="1"/>
    <col min="7689" max="7689" width="10.5" style="31" customWidth="1"/>
    <col min="7690" max="7937" width="9" style="31"/>
    <col min="7938" max="7938" width="60" style="31" customWidth="1"/>
    <col min="7939" max="7939" width="14" style="31" customWidth="1"/>
    <col min="7940" max="7940" width="9.19921875" style="31" bestFit="1" customWidth="1"/>
    <col min="7941" max="7941" width="11.19921875" style="31" customWidth="1"/>
    <col min="7942" max="7944" width="12.59765625" style="31" customWidth="1"/>
    <col min="7945" max="7945" width="10.5" style="31" customWidth="1"/>
    <col min="7946" max="8193" width="9" style="31"/>
    <col min="8194" max="8194" width="60" style="31" customWidth="1"/>
    <col min="8195" max="8195" width="14" style="31" customWidth="1"/>
    <col min="8196" max="8196" width="9.19921875" style="31" bestFit="1" customWidth="1"/>
    <col min="8197" max="8197" width="11.19921875" style="31" customWidth="1"/>
    <col min="8198" max="8200" width="12.59765625" style="31" customWidth="1"/>
    <col min="8201" max="8201" width="10.5" style="31" customWidth="1"/>
    <col min="8202" max="8449" width="9" style="31"/>
    <col min="8450" max="8450" width="60" style="31" customWidth="1"/>
    <col min="8451" max="8451" width="14" style="31" customWidth="1"/>
    <col min="8452" max="8452" width="9.19921875" style="31" bestFit="1" customWidth="1"/>
    <col min="8453" max="8453" width="11.19921875" style="31" customWidth="1"/>
    <col min="8454" max="8456" width="12.59765625" style="31" customWidth="1"/>
    <col min="8457" max="8457" width="10.5" style="31" customWidth="1"/>
    <col min="8458" max="8705" width="9" style="31"/>
    <col min="8706" max="8706" width="60" style="31" customWidth="1"/>
    <col min="8707" max="8707" width="14" style="31" customWidth="1"/>
    <col min="8708" max="8708" width="9.19921875" style="31" bestFit="1" customWidth="1"/>
    <col min="8709" max="8709" width="11.19921875" style="31" customWidth="1"/>
    <col min="8710" max="8712" width="12.59765625" style="31" customWidth="1"/>
    <col min="8713" max="8713" width="10.5" style="31" customWidth="1"/>
    <col min="8714" max="8961" width="9" style="31"/>
    <col min="8962" max="8962" width="60" style="31" customWidth="1"/>
    <col min="8963" max="8963" width="14" style="31" customWidth="1"/>
    <col min="8964" max="8964" width="9.19921875" style="31" bestFit="1" customWidth="1"/>
    <col min="8965" max="8965" width="11.19921875" style="31" customWidth="1"/>
    <col min="8966" max="8968" width="12.59765625" style="31" customWidth="1"/>
    <col min="8969" max="8969" width="10.5" style="31" customWidth="1"/>
    <col min="8970" max="9217" width="9" style="31"/>
    <col min="9218" max="9218" width="60" style="31" customWidth="1"/>
    <col min="9219" max="9219" width="14" style="31" customWidth="1"/>
    <col min="9220" max="9220" width="9.19921875" style="31" bestFit="1" customWidth="1"/>
    <col min="9221" max="9221" width="11.19921875" style="31" customWidth="1"/>
    <col min="9222" max="9224" width="12.59765625" style="31" customWidth="1"/>
    <col min="9225" max="9225" width="10.5" style="31" customWidth="1"/>
    <col min="9226" max="9473" width="9" style="31"/>
    <col min="9474" max="9474" width="60" style="31" customWidth="1"/>
    <col min="9475" max="9475" width="14" style="31" customWidth="1"/>
    <col min="9476" max="9476" width="9.19921875" style="31" bestFit="1" customWidth="1"/>
    <col min="9477" max="9477" width="11.19921875" style="31" customWidth="1"/>
    <col min="9478" max="9480" width="12.59765625" style="31" customWidth="1"/>
    <col min="9481" max="9481" width="10.5" style="31" customWidth="1"/>
    <col min="9482" max="9729" width="9" style="31"/>
    <col min="9730" max="9730" width="60" style="31" customWidth="1"/>
    <col min="9731" max="9731" width="14" style="31" customWidth="1"/>
    <col min="9732" max="9732" width="9.19921875" style="31" bestFit="1" customWidth="1"/>
    <col min="9733" max="9733" width="11.19921875" style="31" customWidth="1"/>
    <col min="9734" max="9736" width="12.59765625" style="31" customWidth="1"/>
    <col min="9737" max="9737" width="10.5" style="31" customWidth="1"/>
    <col min="9738" max="9985" width="9" style="31"/>
    <col min="9986" max="9986" width="60" style="31" customWidth="1"/>
    <col min="9987" max="9987" width="14" style="31" customWidth="1"/>
    <col min="9988" max="9988" width="9.19921875" style="31" bestFit="1" customWidth="1"/>
    <col min="9989" max="9989" width="11.19921875" style="31" customWidth="1"/>
    <col min="9990" max="9992" width="12.59765625" style="31" customWidth="1"/>
    <col min="9993" max="9993" width="10.5" style="31" customWidth="1"/>
    <col min="9994" max="10241" width="9" style="31"/>
    <col min="10242" max="10242" width="60" style="31" customWidth="1"/>
    <col min="10243" max="10243" width="14" style="31" customWidth="1"/>
    <col min="10244" max="10244" width="9.19921875" style="31" bestFit="1" customWidth="1"/>
    <col min="10245" max="10245" width="11.19921875" style="31" customWidth="1"/>
    <col min="10246" max="10248" width="12.59765625" style="31" customWidth="1"/>
    <col min="10249" max="10249" width="10.5" style="31" customWidth="1"/>
    <col min="10250" max="10497" width="9" style="31"/>
    <col min="10498" max="10498" width="60" style="31" customWidth="1"/>
    <col min="10499" max="10499" width="14" style="31" customWidth="1"/>
    <col min="10500" max="10500" width="9.19921875" style="31" bestFit="1" customWidth="1"/>
    <col min="10501" max="10501" width="11.19921875" style="31" customWidth="1"/>
    <col min="10502" max="10504" width="12.59765625" style="31" customWidth="1"/>
    <col min="10505" max="10505" width="10.5" style="31" customWidth="1"/>
    <col min="10506" max="10753" width="9" style="31"/>
    <col min="10754" max="10754" width="60" style="31" customWidth="1"/>
    <col min="10755" max="10755" width="14" style="31" customWidth="1"/>
    <col min="10756" max="10756" width="9.19921875" style="31" bestFit="1" customWidth="1"/>
    <col min="10757" max="10757" width="11.19921875" style="31" customWidth="1"/>
    <col min="10758" max="10760" width="12.59765625" style="31" customWidth="1"/>
    <col min="10761" max="10761" width="10.5" style="31" customWidth="1"/>
    <col min="10762" max="11009" width="9" style="31"/>
    <col min="11010" max="11010" width="60" style="31" customWidth="1"/>
    <col min="11011" max="11011" width="14" style="31" customWidth="1"/>
    <col min="11012" max="11012" width="9.19921875" style="31" bestFit="1" customWidth="1"/>
    <col min="11013" max="11013" width="11.19921875" style="31" customWidth="1"/>
    <col min="11014" max="11016" width="12.59765625" style="31" customWidth="1"/>
    <col min="11017" max="11017" width="10.5" style="31" customWidth="1"/>
    <col min="11018" max="11265" width="9" style="31"/>
    <col min="11266" max="11266" width="60" style="31" customWidth="1"/>
    <col min="11267" max="11267" width="14" style="31" customWidth="1"/>
    <col min="11268" max="11268" width="9.19921875" style="31" bestFit="1" customWidth="1"/>
    <col min="11269" max="11269" width="11.19921875" style="31" customWidth="1"/>
    <col min="11270" max="11272" width="12.59765625" style="31" customWidth="1"/>
    <col min="11273" max="11273" width="10.5" style="31" customWidth="1"/>
    <col min="11274" max="11521" width="9" style="31"/>
    <col min="11522" max="11522" width="60" style="31" customWidth="1"/>
    <col min="11523" max="11523" width="14" style="31" customWidth="1"/>
    <col min="11524" max="11524" width="9.19921875" style="31" bestFit="1" customWidth="1"/>
    <col min="11525" max="11525" width="11.19921875" style="31" customWidth="1"/>
    <col min="11526" max="11528" width="12.59765625" style="31" customWidth="1"/>
    <col min="11529" max="11529" width="10.5" style="31" customWidth="1"/>
    <col min="11530" max="11777" width="9" style="31"/>
    <col min="11778" max="11778" width="60" style="31" customWidth="1"/>
    <col min="11779" max="11779" width="14" style="31" customWidth="1"/>
    <col min="11780" max="11780" width="9.19921875" style="31" bestFit="1" customWidth="1"/>
    <col min="11781" max="11781" width="11.19921875" style="31" customWidth="1"/>
    <col min="11782" max="11784" width="12.59765625" style="31" customWidth="1"/>
    <col min="11785" max="11785" width="10.5" style="31" customWidth="1"/>
    <col min="11786" max="12033" width="9" style="31"/>
    <col min="12034" max="12034" width="60" style="31" customWidth="1"/>
    <col min="12035" max="12035" width="14" style="31" customWidth="1"/>
    <col min="12036" max="12036" width="9.19921875" style="31" bestFit="1" customWidth="1"/>
    <col min="12037" max="12037" width="11.19921875" style="31" customWidth="1"/>
    <col min="12038" max="12040" width="12.59765625" style="31" customWidth="1"/>
    <col min="12041" max="12041" width="10.5" style="31" customWidth="1"/>
    <col min="12042" max="12289" width="9" style="31"/>
    <col min="12290" max="12290" width="60" style="31" customWidth="1"/>
    <col min="12291" max="12291" width="14" style="31" customWidth="1"/>
    <col min="12292" max="12292" width="9.19921875" style="31" bestFit="1" customWidth="1"/>
    <col min="12293" max="12293" width="11.19921875" style="31" customWidth="1"/>
    <col min="12294" max="12296" width="12.59765625" style="31" customWidth="1"/>
    <col min="12297" max="12297" width="10.5" style="31" customWidth="1"/>
    <col min="12298" max="12545" width="9" style="31"/>
    <col min="12546" max="12546" width="60" style="31" customWidth="1"/>
    <col min="12547" max="12547" width="14" style="31" customWidth="1"/>
    <col min="12548" max="12548" width="9.19921875" style="31" bestFit="1" customWidth="1"/>
    <col min="12549" max="12549" width="11.19921875" style="31" customWidth="1"/>
    <col min="12550" max="12552" width="12.59765625" style="31" customWidth="1"/>
    <col min="12553" max="12553" width="10.5" style="31" customWidth="1"/>
    <col min="12554" max="12801" width="9" style="31"/>
    <col min="12802" max="12802" width="60" style="31" customWidth="1"/>
    <col min="12803" max="12803" width="14" style="31" customWidth="1"/>
    <col min="12804" max="12804" width="9.19921875" style="31" bestFit="1" customWidth="1"/>
    <col min="12805" max="12805" width="11.19921875" style="31" customWidth="1"/>
    <col min="12806" max="12808" width="12.59765625" style="31" customWidth="1"/>
    <col min="12809" max="12809" width="10.5" style="31" customWidth="1"/>
    <col min="12810" max="13057" width="9" style="31"/>
    <col min="13058" max="13058" width="60" style="31" customWidth="1"/>
    <col min="13059" max="13059" width="14" style="31" customWidth="1"/>
    <col min="13060" max="13060" width="9.19921875" style="31" bestFit="1" customWidth="1"/>
    <col min="13061" max="13061" width="11.19921875" style="31" customWidth="1"/>
    <col min="13062" max="13064" width="12.59765625" style="31" customWidth="1"/>
    <col min="13065" max="13065" width="10.5" style="31" customWidth="1"/>
    <col min="13066" max="13313" width="9" style="31"/>
    <col min="13314" max="13314" width="60" style="31" customWidth="1"/>
    <col min="13315" max="13315" width="14" style="31" customWidth="1"/>
    <col min="13316" max="13316" width="9.19921875" style="31" bestFit="1" customWidth="1"/>
    <col min="13317" max="13317" width="11.19921875" style="31" customWidth="1"/>
    <col min="13318" max="13320" width="12.59765625" style="31" customWidth="1"/>
    <col min="13321" max="13321" width="10.5" style="31" customWidth="1"/>
    <col min="13322" max="13569" width="9" style="31"/>
    <col min="13570" max="13570" width="60" style="31" customWidth="1"/>
    <col min="13571" max="13571" width="14" style="31" customWidth="1"/>
    <col min="13572" max="13572" width="9.19921875" style="31" bestFit="1" customWidth="1"/>
    <col min="13573" max="13573" width="11.19921875" style="31" customWidth="1"/>
    <col min="13574" max="13576" width="12.59765625" style="31" customWidth="1"/>
    <col min="13577" max="13577" width="10.5" style="31" customWidth="1"/>
    <col min="13578" max="13825" width="9" style="31"/>
    <col min="13826" max="13826" width="60" style="31" customWidth="1"/>
    <col min="13827" max="13827" width="14" style="31" customWidth="1"/>
    <col min="13828" max="13828" width="9.19921875" style="31" bestFit="1" customWidth="1"/>
    <col min="13829" max="13829" width="11.19921875" style="31" customWidth="1"/>
    <col min="13830" max="13832" width="12.59765625" style="31" customWidth="1"/>
    <col min="13833" max="13833" width="10.5" style="31" customWidth="1"/>
    <col min="13834" max="14081" width="9" style="31"/>
    <col min="14082" max="14082" width="60" style="31" customWidth="1"/>
    <col min="14083" max="14083" width="14" style="31" customWidth="1"/>
    <col min="14084" max="14084" width="9.19921875" style="31" bestFit="1" customWidth="1"/>
    <col min="14085" max="14085" width="11.19921875" style="31" customWidth="1"/>
    <col min="14086" max="14088" width="12.59765625" style="31" customWidth="1"/>
    <col min="14089" max="14089" width="10.5" style="31" customWidth="1"/>
    <col min="14090" max="14337" width="9" style="31"/>
    <col min="14338" max="14338" width="60" style="31" customWidth="1"/>
    <col min="14339" max="14339" width="14" style="31" customWidth="1"/>
    <col min="14340" max="14340" width="9.19921875" style="31" bestFit="1" customWidth="1"/>
    <col min="14341" max="14341" width="11.19921875" style="31" customWidth="1"/>
    <col min="14342" max="14344" width="12.59765625" style="31" customWidth="1"/>
    <col min="14345" max="14345" width="10.5" style="31" customWidth="1"/>
    <col min="14346" max="14593" width="9" style="31"/>
    <col min="14594" max="14594" width="60" style="31" customWidth="1"/>
    <col min="14595" max="14595" width="14" style="31" customWidth="1"/>
    <col min="14596" max="14596" width="9.19921875" style="31" bestFit="1" customWidth="1"/>
    <col min="14597" max="14597" width="11.19921875" style="31" customWidth="1"/>
    <col min="14598" max="14600" width="12.59765625" style="31" customWidth="1"/>
    <col min="14601" max="14601" width="10.5" style="31" customWidth="1"/>
    <col min="14602" max="14849" width="9" style="31"/>
    <col min="14850" max="14850" width="60" style="31" customWidth="1"/>
    <col min="14851" max="14851" width="14" style="31" customWidth="1"/>
    <col min="14852" max="14852" width="9.19921875" style="31" bestFit="1" customWidth="1"/>
    <col min="14853" max="14853" width="11.19921875" style="31" customWidth="1"/>
    <col min="14854" max="14856" width="12.59765625" style="31" customWidth="1"/>
    <col min="14857" max="14857" width="10.5" style="31" customWidth="1"/>
    <col min="14858" max="15105" width="9" style="31"/>
    <col min="15106" max="15106" width="60" style="31" customWidth="1"/>
    <col min="15107" max="15107" width="14" style="31" customWidth="1"/>
    <col min="15108" max="15108" width="9.19921875" style="31" bestFit="1" customWidth="1"/>
    <col min="15109" max="15109" width="11.19921875" style="31" customWidth="1"/>
    <col min="15110" max="15112" width="12.59765625" style="31" customWidth="1"/>
    <col min="15113" max="15113" width="10.5" style="31" customWidth="1"/>
    <col min="15114" max="15361" width="9" style="31"/>
    <col min="15362" max="15362" width="60" style="31" customWidth="1"/>
    <col min="15363" max="15363" width="14" style="31" customWidth="1"/>
    <col min="15364" max="15364" width="9.19921875" style="31" bestFit="1" customWidth="1"/>
    <col min="15365" max="15365" width="11.19921875" style="31" customWidth="1"/>
    <col min="15366" max="15368" width="12.59765625" style="31" customWidth="1"/>
    <col min="15369" max="15369" width="10.5" style="31" customWidth="1"/>
    <col min="15370" max="15617" width="9" style="31"/>
    <col min="15618" max="15618" width="60" style="31" customWidth="1"/>
    <col min="15619" max="15619" width="14" style="31" customWidth="1"/>
    <col min="15620" max="15620" width="9.19921875" style="31" bestFit="1" customWidth="1"/>
    <col min="15621" max="15621" width="11.19921875" style="31" customWidth="1"/>
    <col min="15622" max="15624" width="12.59765625" style="31" customWidth="1"/>
    <col min="15625" max="15625" width="10.5" style="31" customWidth="1"/>
    <col min="15626" max="15873" width="9" style="31"/>
    <col min="15874" max="15874" width="60" style="31" customWidth="1"/>
    <col min="15875" max="15875" width="14" style="31" customWidth="1"/>
    <col min="15876" max="15876" width="9.19921875" style="31" bestFit="1" customWidth="1"/>
    <col min="15877" max="15877" width="11.19921875" style="31" customWidth="1"/>
    <col min="15878" max="15880" width="12.59765625" style="31" customWidth="1"/>
    <col min="15881" max="15881" width="10.5" style="31" customWidth="1"/>
    <col min="15882" max="16129" width="9" style="31"/>
    <col min="16130" max="16130" width="60" style="31" customWidth="1"/>
    <col min="16131" max="16131" width="14" style="31" customWidth="1"/>
    <col min="16132" max="16132" width="9.19921875" style="31" bestFit="1" customWidth="1"/>
    <col min="16133" max="16133" width="11.19921875" style="31" customWidth="1"/>
    <col min="16134" max="16136" width="12.59765625" style="31" customWidth="1"/>
    <col min="16137" max="16137" width="10.5" style="31" customWidth="1"/>
    <col min="16138" max="16384" width="9" style="31"/>
  </cols>
  <sheetData>
    <row r="1" spans="1:9" ht="17.399999999999999">
      <c r="A1" s="50"/>
      <c r="B1" s="51"/>
      <c r="C1" s="51"/>
      <c r="D1" s="51"/>
      <c r="E1" s="51"/>
      <c r="F1" s="51"/>
      <c r="G1" s="51"/>
      <c r="H1" s="52"/>
    </row>
    <row r="2" spans="1:9" ht="18" customHeight="1" thickBot="1">
      <c r="A2" s="373"/>
      <c r="B2" s="374"/>
      <c r="C2" s="374"/>
      <c r="D2" s="374"/>
      <c r="E2" s="374"/>
      <c r="F2" s="374"/>
      <c r="G2" s="374"/>
      <c r="H2" s="375"/>
    </row>
    <row r="3" spans="1:9" ht="13.8" thickBot="1">
      <c r="A3" s="7"/>
      <c r="B3" s="7"/>
      <c r="C3" s="53"/>
      <c r="D3" s="54"/>
      <c r="E3" s="55"/>
      <c r="F3" s="7"/>
      <c r="G3" s="7"/>
      <c r="H3" s="7"/>
    </row>
    <row r="4" spans="1:9">
      <c r="A4" s="56" t="s">
        <v>1047</v>
      </c>
      <c r="B4" s="57"/>
      <c r="C4" s="58"/>
      <c r="D4" s="59"/>
      <c r="E4" s="60"/>
      <c r="F4" s="61"/>
      <c r="G4" s="61"/>
      <c r="H4" s="62"/>
    </row>
    <row r="5" spans="1:9">
      <c r="A5" s="63" t="s">
        <v>205</v>
      </c>
      <c r="B5" s="64"/>
      <c r="C5" s="65"/>
      <c r="D5" s="66"/>
      <c r="E5" s="67"/>
      <c r="F5" s="68"/>
      <c r="G5" s="69"/>
      <c r="H5" s="70"/>
    </row>
    <row r="6" spans="1:9" ht="13.8" thickBot="1">
      <c r="A6" s="71" t="s">
        <v>1048</v>
      </c>
      <c r="B6" s="72"/>
      <c r="C6" s="73"/>
      <c r="D6" s="74"/>
      <c r="E6" s="75"/>
      <c r="F6" s="76"/>
      <c r="G6" s="76"/>
      <c r="H6" s="77"/>
    </row>
    <row r="7" spans="1:9" ht="13.8" thickBot="1">
      <c r="A7" s="64"/>
      <c r="B7" s="64"/>
      <c r="C7" s="65"/>
      <c r="D7" s="66"/>
      <c r="E7" s="67"/>
      <c r="F7" s="69"/>
      <c r="G7" s="69"/>
      <c r="H7" s="66"/>
    </row>
    <row r="8" spans="1:9" ht="13.8" thickBot="1">
      <c r="A8" s="376" t="s">
        <v>194</v>
      </c>
      <c r="B8" s="377"/>
      <c r="C8" s="377"/>
      <c r="D8" s="377"/>
      <c r="E8" s="377"/>
      <c r="F8" s="377"/>
      <c r="G8" s="377"/>
      <c r="H8" s="378"/>
    </row>
    <row r="9" spans="1:9" ht="13.8" thickBot="1"/>
    <row r="10" spans="1:9">
      <c r="A10" s="78" t="s">
        <v>16</v>
      </c>
      <c r="B10" s="79" t="s">
        <v>19</v>
      </c>
      <c r="C10" s="80" t="s">
        <v>21</v>
      </c>
      <c r="D10" s="79" t="s">
        <v>74</v>
      </c>
      <c r="E10" s="79">
        <v>1</v>
      </c>
      <c r="F10" s="79">
        <v>2</v>
      </c>
      <c r="G10" s="79">
        <v>3</v>
      </c>
      <c r="H10" s="81">
        <v>4</v>
      </c>
    </row>
    <row r="11" spans="1:9">
      <c r="A11" s="82"/>
      <c r="B11" s="30"/>
      <c r="C11" s="83"/>
      <c r="D11" s="24"/>
      <c r="E11" s="24"/>
      <c r="F11" s="24"/>
      <c r="G11" s="24"/>
      <c r="H11" s="84"/>
    </row>
    <row r="12" spans="1:9" ht="13.8">
      <c r="A12" s="22">
        <f>'PLANILHA ORÇAMENTÁRIA'!B14</f>
        <v>1</v>
      </c>
      <c r="B12" s="85" t="s">
        <v>105</v>
      </c>
      <c r="C12" s="29">
        <f>'PLANILHA ORÇAMENTÁRIA'!J14</f>
        <v>30581.49</v>
      </c>
      <c r="D12" s="23">
        <f>C12/$C$49</f>
        <v>9.9611851916900543E-2</v>
      </c>
      <c r="E12" s="26">
        <v>1</v>
      </c>
      <c r="F12" s="23"/>
      <c r="G12" s="24"/>
      <c r="H12" s="84"/>
      <c r="I12" s="86"/>
    </row>
    <row r="13" spans="1:9" ht="13.8">
      <c r="A13" s="22"/>
      <c r="B13" s="24"/>
      <c r="C13" s="29"/>
      <c r="D13" s="23"/>
      <c r="E13" s="25">
        <f>$C12*E12</f>
        <v>30581.49</v>
      </c>
      <c r="F13" s="25"/>
      <c r="G13" s="24"/>
      <c r="H13" s="84"/>
      <c r="I13" s="86"/>
    </row>
    <row r="14" spans="1:9" ht="13.8">
      <c r="A14" s="22">
        <f>'PLANILHA ORÇAMENTÁRIA'!B22</f>
        <v>2</v>
      </c>
      <c r="B14" s="24" t="s">
        <v>286</v>
      </c>
      <c r="C14" s="29">
        <f>'PLANILHA ORÇAMENTÁRIA'!J22</f>
        <v>0</v>
      </c>
      <c r="D14" s="23">
        <f>C14/$C$49</f>
        <v>0</v>
      </c>
      <c r="E14" s="26">
        <v>1</v>
      </c>
      <c r="F14" s="25"/>
      <c r="G14" s="24"/>
      <c r="H14" s="84"/>
      <c r="I14" s="86"/>
    </row>
    <row r="15" spans="1:9" ht="13.8">
      <c r="A15" s="22"/>
      <c r="B15" s="24"/>
      <c r="C15" s="29"/>
      <c r="D15" s="23"/>
      <c r="E15" s="25">
        <f>E14*$C$14</f>
        <v>0</v>
      </c>
      <c r="F15" s="25"/>
      <c r="G15" s="24"/>
      <c r="H15" s="84"/>
      <c r="I15" s="86"/>
    </row>
    <row r="16" spans="1:9" ht="13.8">
      <c r="A16" s="22">
        <f>'PLANILHA ORÇAMENTÁRIA'!B31</f>
        <v>3</v>
      </c>
      <c r="B16" s="24" t="s">
        <v>130</v>
      </c>
      <c r="C16" s="29">
        <f>'PLANILHA ORÇAMENTÁRIA'!J31</f>
        <v>9492.35</v>
      </c>
      <c r="D16" s="23">
        <f>C16/$C$49</f>
        <v>3.0919048174022617E-2</v>
      </c>
      <c r="E16" s="26">
        <v>1</v>
      </c>
      <c r="F16" s="27"/>
      <c r="G16" s="23"/>
      <c r="H16" s="84"/>
      <c r="I16" s="86"/>
    </row>
    <row r="17" spans="1:9" ht="13.8">
      <c r="A17" s="22"/>
      <c r="B17" s="24"/>
      <c r="C17" s="29"/>
      <c r="D17" s="23"/>
      <c r="E17" s="25">
        <f>$C16*E16</f>
        <v>9492.35</v>
      </c>
      <c r="F17" s="25"/>
      <c r="G17" s="25"/>
      <c r="H17" s="84"/>
      <c r="I17" s="86"/>
    </row>
    <row r="18" spans="1:9" ht="13.8">
      <c r="A18" s="22">
        <f>'PLANILHA ORÇAMENTÁRIA'!B39</f>
        <v>4</v>
      </c>
      <c r="B18" s="24" t="s">
        <v>59</v>
      </c>
      <c r="C18" s="29">
        <f>'PLANILHA ORÇAMENTÁRIA'!J39</f>
        <v>41198.350000000006</v>
      </c>
      <c r="D18" s="23">
        <f>C18/$C$49</f>
        <v>0.13419372108489938</v>
      </c>
      <c r="E18" s="26">
        <v>0.6</v>
      </c>
      <c r="F18" s="26">
        <v>0.4</v>
      </c>
      <c r="G18" s="27"/>
      <c r="H18" s="84"/>
      <c r="I18" s="86"/>
    </row>
    <row r="19" spans="1:9" ht="13.8">
      <c r="A19" s="22"/>
      <c r="B19" s="24"/>
      <c r="C19" s="29"/>
      <c r="D19" s="23"/>
      <c r="E19" s="25">
        <f>C18*E18</f>
        <v>24719.010000000002</v>
      </c>
      <c r="F19" s="25">
        <f>C18*F18</f>
        <v>16479.340000000004</v>
      </c>
      <c r="G19" s="25"/>
      <c r="H19" s="84"/>
      <c r="I19" s="86"/>
    </row>
    <row r="20" spans="1:9" ht="13.8">
      <c r="A20" s="22">
        <f>'PLANILHA ORÇAMENTÁRIA'!B59</f>
        <v>5</v>
      </c>
      <c r="B20" s="197" t="s">
        <v>106</v>
      </c>
      <c r="C20" s="29">
        <f>'PLANILHA ORÇAMENTÁRIA'!J59</f>
        <v>40440.93</v>
      </c>
      <c r="D20" s="23">
        <f>C20/$C$49</f>
        <v>0.13172660751787243</v>
      </c>
      <c r="E20" s="24"/>
      <c r="F20" s="26">
        <v>0.6</v>
      </c>
      <c r="G20" s="26">
        <v>0.4</v>
      </c>
      <c r="H20" s="87"/>
      <c r="I20" s="86"/>
    </row>
    <row r="21" spans="1:9" ht="13.8">
      <c r="A21" s="22"/>
      <c r="B21" s="24"/>
      <c r="C21" s="29"/>
      <c r="D21" s="23"/>
      <c r="E21" s="24"/>
      <c r="F21" s="25">
        <f>C20*F20</f>
        <v>24264.558000000001</v>
      </c>
      <c r="G21" s="25">
        <f>C20*G20</f>
        <v>16176.372000000001</v>
      </c>
      <c r="H21" s="88"/>
      <c r="I21" s="86"/>
    </row>
    <row r="22" spans="1:9" ht="13.8">
      <c r="A22" s="22">
        <f>'PLANILHA ORÇAMENTÁRIA'!B79</f>
        <v>5</v>
      </c>
      <c r="B22" s="24" t="s">
        <v>153</v>
      </c>
      <c r="C22" s="29">
        <f>'PLANILHA ORÇAMENTÁRIA'!J79</f>
        <v>31508.23</v>
      </c>
      <c r="D22" s="23">
        <f>C22/$C$49</f>
        <v>0.10263048467957719</v>
      </c>
      <c r="E22" s="24"/>
      <c r="F22" s="26">
        <v>0.8</v>
      </c>
      <c r="G22" s="26">
        <v>0.2</v>
      </c>
      <c r="H22" s="87"/>
      <c r="I22" s="86"/>
    </row>
    <row r="23" spans="1:9" ht="13.8">
      <c r="A23" s="22"/>
      <c r="B23" s="24"/>
      <c r="C23" s="29"/>
      <c r="D23" s="23"/>
      <c r="E23" s="24"/>
      <c r="F23" s="25">
        <f>C22*F22</f>
        <v>25206.584000000003</v>
      </c>
      <c r="G23" s="25">
        <f>$C22*G22</f>
        <v>6301.6460000000006</v>
      </c>
      <c r="H23" s="88"/>
      <c r="I23" s="86"/>
    </row>
    <row r="24" spans="1:9" ht="13.8">
      <c r="A24" s="22">
        <f>'PLANILHA ORÇAMENTÁRIA'!B85</f>
        <v>6</v>
      </c>
      <c r="B24" s="24" t="s">
        <v>107</v>
      </c>
      <c r="C24" s="29">
        <f>'PLANILHA ORÇAMENTÁRIA'!J85</f>
        <v>15595.720000000001</v>
      </c>
      <c r="D24" s="23">
        <f>C24/$C$49</f>
        <v>5.0799308705280356E-2</v>
      </c>
      <c r="E24" s="24"/>
      <c r="F24" s="26">
        <v>0.4</v>
      </c>
      <c r="G24" s="26">
        <v>0.6</v>
      </c>
      <c r="H24" s="87"/>
      <c r="I24" s="86"/>
    </row>
    <row r="25" spans="1:9" ht="13.8">
      <c r="A25" s="22"/>
      <c r="B25" s="24"/>
      <c r="C25" s="29"/>
      <c r="D25" s="23"/>
      <c r="E25" s="24"/>
      <c r="F25" s="25">
        <f>C24*F24</f>
        <v>6238.2880000000005</v>
      </c>
      <c r="G25" s="25">
        <f>C24*G24</f>
        <v>9357.4320000000007</v>
      </c>
      <c r="H25" s="88"/>
      <c r="I25" s="86"/>
    </row>
    <row r="26" spans="1:9" ht="13.8">
      <c r="A26" s="22">
        <f>'PLANILHA ORÇAMENTÁRIA'!B97</f>
        <v>7</v>
      </c>
      <c r="B26" s="24" t="s">
        <v>128</v>
      </c>
      <c r="C26" s="29">
        <f>'PLANILHA ORÇAMENTÁRIA'!J97</f>
        <v>21387.98</v>
      </c>
      <c r="D26" s="23">
        <f>C26/$C$49</f>
        <v>6.9666203202055563E-2</v>
      </c>
      <c r="E26" s="24"/>
      <c r="F26" s="26">
        <v>0.4</v>
      </c>
      <c r="G26" s="26">
        <v>0.6</v>
      </c>
      <c r="H26" s="87"/>
      <c r="I26" s="86"/>
    </row>
    <row r="27" spans="1:9" ht="13.8">
      <c r="A27" s="22"/>
      <c r="B27" s="24"/>
      <c r="C27" s="29"/>
      <c r="D27" s="23"/>
      <c r="E27" s="24"/>
      <c r="F27" s="25">
        <f>C26*F26</f>
        <v>8555.1920000000009</v>
      </c>
      <c r="G27" s="25">
        <f>C26*G26</f>
        <v>12832.787999999999</v>
      </c>
      <c r="H27" s="88"/>
      <c r="I27" s="86"/>
    </row>
    <row r="28" spans="1:9" ht="13.8">
      <c r="A28" s="22">
        <f>'PLANILHA ORÇAMENTÁRIA'!B104</f>
        <v>8</v>
      </c>
      <c r="B28" s="24" t="s">
        <v>89</v>
      </c>
      <c r="C28" s="29">
        <f>'PLANILHA ORÇAMENTÁRIA'!J104</f>
        <v>2737.1</v>
      </c>
      <c r="D28" s="23">
        <f>C28/$C$49</f>
        <v>8.9154452540326987E-3</v>
      </c>
      <c r="E28" s="26">
        <v>1</v>
      </c>
      <c r="F28" s="28"/>
      <c r="G28" s="28"/>
      <c r="H28" s="87"/>
      <c r="I28" s="86"/>
    </row>
    <row r="29" spans="1:9" ht="13.8">
      <c r="A29" s="22"/>
      <c r="B29" s="24"/>
      <c r="C29" s="29"/>
      <c r="D29" s="23"/>
      <c r="E29" s="25">
        <f>$C28*E28</f>
        <v>2737.1</v>
      </c>
      <c r="F29" s="28"/>
      <c r="G29" s="28"/>
      <c r="H29" s="87"/>
      <c r="I29" s="86"/>
    </row>
    <row r="30" spans="1:9" ht="13.8">
      <c r="A30" s="22">
        <f>'PLANILHA ORÇAMENTÁRIA'!B108</f>
        <v>9</v>
      </c>
      <c r="B30" s="197" t="s">
        <v>152</v>
      </c>
      <c r="C30" s="29">
        <f>'PLANILHA ORÇAMENTÁRIA'!J108</f>
        <v>36758.29</v>
      </c>
      <c r="D30" s="196">
        <f>C30/$C$49</f>
        <v>0.11973129302066335</v>
      </c>
      <c r="E30" s="24"/>
      <c r="F30" s="26">
        <v>0.5</v>
      </c>
      <c r="G30" s="26">
        <v>0.5</v>
      </c>
      <c r="H30" s="87"/>
      <c r="I30" s="86"/>
    </row>
    <row r="31" spans="1:9" ht="13.8">
      <c r="A31" s="22"/>
      <c r="B31" s="24"/>
      <c r="C31" s="29"/>
      <c r="D31" s="23"/>
      <c r="E31" s="24"/>
      <c r="F31" s="25">
        <f>C30*F30</f>
        <v>18379.145</v>
      </c>
      <c r="G31" s="25">
        <f>C30*G30</f>
        <v>18379.145</v>
      </c>
      <c r="H31" s="87"/>
      <c r="I31" s="86"/>
    </row>
    <row r="32" spans="1:9" ht="13.8">
      <c r="A32" s="22">
        <f>'PLANILHA ORÇAMENTÁRIA'!B115</f>
        <v>10</v>
      </c>
      <c r="B32" s="24" t="s">
        <v>155</v>
      </c>
      <c r="C32" s="29">
        <f>'PLANILHA ORÇAMENTÁRIA'!J115</f>
        <v>23352.690000000002</v>
      </c>
      <c r="D32" s="23">
        <f>C32/$C$49</f>
        <v>7.6065773712833629E-2</v>
      </c>
      <c r="E32" s="24"/>
      <c r="F32" s="26">
        <v>0.3</v>
      </c>
      <c r="G32" s="26">
        <v>0.7</v>
      </c>
      <c r="H32" s="87"/>
      <c r="I32" s="86"/>
    </row>
    <row r="33" spans="1:9" ht="13.8">
      <c r="A33" s="22"/>
      <c r="B33" s="24"/>
      <c r="C33" s="29"/>
      <c r="D33" s="23"/>
      <c r="E33" s="24"/>
      <c r="F33" s="25">
        <f>C32*F32</f>
        <v>7005.8070000000007</v>
      </c>
      <c r="G33" s="25">
        <f>C32*G32</f>
        <v>16346.883</v>
      </c>
      <c r="H33" s="88"/>
      <c r="I33" s="86"/>
    </row>
    <row r="34" spans="1:9" ht="13.8">
      <c r="A34" s="22">
        <f>'PLANILHA ORÇAMENTÁRIA'!B124</f>
        <v>11</v>
      </c>
      <c r="B34" s="24" t="s">
        <v>151</v>
      </c>
      <c r="C34" s="29">
        <f>'PLANILHA ORÇAMENTÁRIA'!J124</f>
        <v>15498.240000000002</v>
      </c>
      <c r="D34" s="23">
        <f>C34/$C$49</f>
        <v>5.0481791039370047E-2</v>
      </c>
      <c r="E34" s="24"/>
      <c r="F34" s="24"/>
      <c r="G34" s="24"/>
      <c r="H34" s="89">
        <v>1</v>
      </c>
      <c r="I34" s="86"/>
    </row>
    <row r="35" spans="1:9" ht="13.8">
      <c r="A35" s="22"/>
      <c r="B35" s="24"/>
      <c r="C35" s="29"/>
      <c r="D35" s="23"/>
      <c r="E35" s="24"/>
      <c r="F35" s="24"/>
      <c r="G35" s="24"/>
      <c r="H35" s="88">
        <f>$C34*H34</f>
        <v>15498.240000000002</v>
      </c>
      <c r="I35" s="86"/>
    </row>
    <row r="36" spans="1:9" ht="13.8">
      <c r="A36" s="22">
        <f>'PLANILHA ORÇAMENTÁRIA'!B132</f>
        <v>12</v>
      </c>
      <c r="B36" s="24" t="s">
        <v>157</v>
      </c>
      <c r="C36" s="29">
        <f>'PLANILHA ORÇAMENTÁRIA'!J132</f>
        <v>3182.27</v>
      </c>
      <c r="D36" s="23">
        <f>C36/$C$49</f>
        <v>1.0365479510631924E-2</v>
      </c>
      <c r="E36" s="24"/>
      <c r="F36" s="26">
        <v>0.2</v>
      </c>
      <c r="G36" s="26">
        <v>0.4</v>
      </c>
      <c r="H36" s="89">
        <v>0.4</v>
      </c>
      <c r="I36" s="86"/>
    </row>
    <row r="37" spans="1:9" ht="13.8">
      <c r="A37" s="22"/>
      <c r="B37" s="24"/>
      <c r="C37" s="29"/>
      <c r="D37" s="23"/>
      <c r="E37" s="24"/>
      <c r="F37" s="25">
        <f>$C36*F36</f>
        <v>636.45400000000006</v>
      </c>
      <c r="G37" s="25">
        <f>$C36*G36</f>
        <v>1272.9080000000001</v>
      </c>
      <c r="H37" s="88">
        <f>$C36*H36</f>
        <v>1272.9080000000001</v>
      </c>
      <c r="I37" s="86"/>
    </row>
    <row r="38" spans="1:9" ht="13.8">
      <c r="A38" s="22">
        <f>'PLANILHA ORÇAMENTÁRIA'!B157</f>
        <v>13</v>
      </c>
      <c r="B38" s="24" t="s">
        <v>158</v>
      </c>
      <c r="C38" s="29">
        <f>'PLANILHA ORÇAMENTÁRIA'!J157</f>
        <v>12505.47</v>
      </c>
      <c r="D38" s="23">
        <f>C38/$C$49</f>
        <v>4.0733562223137003E-2</v>
      </c>
      <c r="E38" s="24"/>
      <c r="F38" s="26">
        <v>0.1</v>
      </c>
      <c r="G38" s="26">
        <v>0.5</v>
      </c>
      <c r="H38" s="89">
        <v>0.4</v>
      </c>
      <c r="I38" s="86"/>
    </row>
    <row r="39" spans="1:9" ht="13.8">
      <c r="A39" s="22"/>
      <c r="B39" s="24"/>
      <c r="C39" s="29"/>
      <c r="D39" s="23"/>
      <c r="E39" s="24"/>
      <c r="F39" s="25">
        <f>$C38*F38</f>
        <v>1250.547</v>
      </c>
      <c r="G39" s="25">
        <f>$C38*G38</f>
        <v>6252.7349999999997</v>
      </c>
      <c r="H39" s="88">
        <f>$C38*H38</f>
        <v>5002.1880000000001</v>
      </c>
      <c r="I39" s="86"/>
    </row>
    <row r="40" spans="1:9" ht="13.8">
      <c r="A40" s="22">
        <f>'PLANILHA ORÇAMENTÁRIA'!B179</f>
        <v>14</v>
      </c>
      <c r="B40" s="24" t="s">
        <v>154</v>
      </c>
      <c r="C40" s="29">
        <f>'PLANILHA ORÇAMENTÁRIA'!J179</f>
        <v>4933.9400000000005</v>
      </c>
      <c r="D40" s="23">
        <f>C40/$C$49</f>
        <v>1.6071123436002376E-2</v>
      </c>
      <c r="E40" s="24"/>
      <c r="F40" s="26"/>
      <c r="G40" s="26">
        <v>0.3</v>
      </c>
      <c r="H40" s="89">
        <v>0.7</v>
      </c>
      <c r="I40" s="86"/>
    </row>
    <row r="41" spans="1:9" ht="13.8">
      <c r="A41" s="22"/>
      <c r="B41" s="24"/>
      <c r="C41" s="29"/>
      <c r="D41" s="23"/>
      <c r="E41" s="24"/>
      <c r="F41" s="25">
        <f>$C40*F40</f>
        <v>0</v>
      </c>
      <c r="G41" s="25">
        <f>$C40*G40</f>
        <v>1480.182</v>
      </c>
      <c r="H41" s="88">
        <f>$C40*H40</f>
        <v>3453.7580000000003</v>
      </c>
      <c r="I41" s="86"/>
    </row>
    <row r="42" spans="1:9" ht="13.8">
      <c r="A42" s="22">
        <f>'PLANILHA ORÇAMENTÁRIA'!B190</f>
        <v>15</v>
      </c>
      <c r="B42" s="24" t="s">
        <v>60</v>
      </c>
      <c r="C42" s="29">
        <f>'PLANILHA ORÇAMENTÁRIA'!J190</f>
        <v>2920.5599999999995</v>
      </c>
      <c r="D42" s="23">
        <f>C42/$C$49</f>
        <v>9.5130221004412468E-3</v>
      </c>
      <c r="E42" s="24"/>
      <c r="F42" s="26">
        <v>0.8</v>
      </c>
      <c r="G42" s="26">
        <v>0.2</v>
      </c>
      <c r="H42" s="90"/>
      <c r="I42" s="86"/>
    </row>
    <row r="43" spans="1:9" ht="13.8">
      <c r="A43" s="22"/>
      <c r="B43" s="24"/>
      <c r="C43" s="29"/>
      <c r="D43" s="23"/>
      <c r="E43" s="24"/>
      <c r="F43" s="25">
        <f>C42*F42</f>
        <v>2336.4479999999999</v>
      </c>
      <c r="G43" s="25">
        <f>C42*G42</f>
        <v>584.11199999999997</v>
      </c>
      <c r="H43" s="88"/>
      <c r="I43" s="86"/>
    </row>
    <row r="44" spans="1:9" ht="13.8">
      <c r="A44" s="22">
        <f>'PLANILHA ORÇAMENTÁRIA'!B198</f>
        <v>16</v>
      </c>
      <c r="B44" s="24" t="s">
        <v>198</v>
      </c>
      <c r="C44" s="29">
        <f>'PLANILHA ORÇAMENTÁRIA'!J198</f>
        <v>14507.640000000003</v>
      </c>
      <c r="D44" s="23">
        <f>C44/$C$49</f>
        <v>4.7255149678570377E-2</v>
      </c>
      <c r="E44" s="24"/>
      <c r="F44" s="28"/>
      <c r="G44" s="26">
        <v>0.6</v>
      </c>
      <c r="H44" s="89">
        <v>0.4</v>
      </c>
      <c r="I44" s="86"/>
    </row>
    <row r="45" spans="1:9" ht="13.8">
      <c r="A45" s="22"/>
      <c r="B45" s="24"/>
      <c r="C45" s="29"/>
      <c r="D45" s="23"/>
      <c r="E45" s="24"/>
      <c r="F45" s="25"/>
      <c r="G45" s="25">
        <f>C44*G44</f>
        <v>8704.5840000000007</v>
      </c>
      <c r="H45" s="88">
        <f>$C44*H44</f>
        <v>5803.0560000000014</v>
      </c>
      <c r="I45" s="86"/>
    </row>
    <row r="46" spans="1:9" ht="13.8">
      <c r="A46" s="22">
        <f>'PLANILHA ORÇAMENTÁRIA'!B215</f>
        <v>17</v>
      </c>
      <c r="B46" s="24" t="s">
        <v>7</v>
      </c>
      <c r="C46" s="29">
        <f>'PLANILHA ORÇAMENTÁRIA'!J215</f>
        <v>405.29</v>
      </c>
      <c r="D46" s="23">
        <f>C46/$C$49</f>
        <v>1.3201347437093688E-3</v>
      </c>
      <c r="E46" s="24"/>
      <c r="F46" s="24"/>
      <c r="G46" s="26">
        <v>0.3</v>
      </c>
      <c r="H46" s="89">
        <v>0.7</v>
      </c>
      <c r="I46" s="86"/>
    </row>
    <row r="47" spans="1:9" ht="14.4" thickBot="1">
      <c r="A47" s="91"/>
      <c r="B47" s="92"/>
      <c r="C47" s="93"/>
      <c r="D47" s="94"/>
      <c r="E47" s="92"/>
      <c r="F47" s="95"/>
      <c r="G47" s="142">
        <f>$C46*G46</f>
        <v>121.587</v>
      </c>
      <c r="H47" s="96">
        <f>$C46*H46</f>
        <v>283.70299999999997</v>
      </c>
      <c r="I47" s="86"/>
    </row>
    <row r="48" spans="1:9" ht="14.4" thickBot="1">
      <c r="C48" s="32"/>
    </row>
    <row r="49" spans="1:8" ht="13.8" thickBot="1">
      <c r="A49" s="379" t="s">
        <v>75</v>
      </c>
      <c r="B49" s="380"/>
      <c r="C49" s="97">
        <f>ROUNDDOWN(SUM(C12:C47),2)</f>
        <v>307006.53999999998</v>
      </c>
      <c r="D49" s="98"/>
      <c r="E49" s="99">
        <f>E13+E17+E19+E21+E23+E25+E27+E29+E31+E33+E35+E37+E39+E41+E43+E45+E47+E15</f>
        <v>67529.950000000012</v>
      </c>
      <c r="F49" s="99">
        <f>F13+F17+F19+F21+F23+F25+F27+F29+F31+F33+F35+F37+F39+F41+F43+F45+F47+F15</f>
        <v>110352.36300000001</v>
      </c>
      <c r="G49" s="99">
        <f>G13+G17+G19+G21+G23+G25+G27+G29+G31+G33+G35+G37+G39+G41+G43+G45+G47+G15</f>
        <v>97810.373999999996</v>
      </c>
      <c r="H49" s="99">
        <f>H13+H17+H19+H21+H23+H25+H27+H29+H31+H33+H35+H37+H39+H41+H43+H45+H47+H15</f>
        <v>31313.853000000006</v>
      </c>
    </row>
    <row r="50" spans="1:8" ht="14.4" thickBot="1">
      <c r="C50" s="32"/>
      <c r="E50" s="100">
        <f>E49/$C$49</f>
        <v>0.21996257799589553</v>
      </c>
      <c r="F50" s="101">
        <f>F49/$C$49</f>
        <v>0.35944629388025423</v>
      </c>
      <c r="G50" s="101">
        <f>G49/$C$49</f>
        <v>0.31859377979374642</v>
      </c>
      <c r="H50" s="102">
        <f>H49/$C$49</f>
        <v>0.101997348330104</v>
      </c>
    </row>
    <row r="51" spans="1:8" ht="14.4" thickBot="1">
      <c r="C51" s="32"/>
      <c r="E51" s="33">
        <f>D51+E50</f>
        <v>0.21996257799589553</v>
      </c>
      <c r="F51" s="34">
        <f>E51+F50</f>
        <v>0.57940887187614976</v>
      </c>
      <c r="G51" s="34">
        <f>F51+G50</f>
        <v>0.89800265166989623</v>
      </c>
      <c r="H51" s="103">
        <f>G51+H50</f>
        <v>1.0000000000000002</v>
      </c>
    </row>
    <row r="52" spans="1:8" ht="13.8">
      <c r="C52" s="32"/>
    </row>
    <row r="55" spans="1:8">
      <c r="B55" s="193" t="str">
        <f>'PLANILHA ORÇAMENTÁRIA'!E223</f>
        <v>THIAGO SANCHES ALVES CORRÊA</v>
      </c>
    </row>
    <row r="56" spans="1:8">
      <c r="B56" s="193" t="str">
        <f>'PLANILHA ORÇAMENTÁRIA'!E224</f>
        <v>CREA MS 11027/D-MS</v>
      </c>
    </row>
  </sheetData>
  <mergeCells count="3">
    <mergeCell ref="A2:H2"/>
    <mergeCell ref="A8:H8"/>
    <mergeCell ref="A49:B49"/>
  </mergeCells>
  <pageMargins left="0.511811024" right="0.511811024" top="0.78740157499999996" bottom="0.78740157499999996" header="0.31496062000000002" footer="0.31496062000000002"/>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dimension ref="A1:I1771"/>
  <sheetViews>
    <sheetView topLeftCell="A3" zoomScale="85" zoomScaleNormal="85" workbookViewId="0">
      <selection activeCell="I9" sqref="I9"/>
    </sheetView>
  </sheetViews>
  <sheetFormatPr defaultColWidth="9" defaultRowHeight="13.2"/>
  <cols>
    <col min="1" max="1" width="11.8984375" style="214" customWidth="1"/>
    <col min="2" max="2" width="53.09765625" style="215" customWidth="1"/>
    <col min="3" max="3" width="11.59765625" style="216" customWidth="1"/>
    <col min="4" max="4" width="11.59765625" style="217" customWidth="1"/>
    <col min="5" max="5" width="11.59765625" style="218" customWidth="1"/>
    <col min="6" max="16384" width="9" style="219"/>
  </cols>
  <sheetData>
    <row r="1" spans="1:9" ht="75" customHeight="1">
      <c r="A1" s="264"/>
      <c r="B1" s="265"/>
      <c r="C1" s="266"/>
      <c r="D1" s="267"/>
      <c r="E1" s="268"/>
    </row>
    <row r="2" spans="1:9" ht="17.25" customHeight="1">
      <c r="A2" s="269" t="s">
        <v>982</v>
      </c>
      <c r="B2" s="270"/>
      <c r="C2" s="270"/>
      <c r="D2" s="270"/>
      <c r="E2" s="271"/>
    </row>
    <row r="3" spans="1:9" ht="17.25" customHeight="1">
      <c r="A3" s="279" t="s">
        <v>983</v>
      </c>
      <c r="B3" s="277"/>
      <c r="C3" s="277"/>
      <c r="D3" s="277"/>
      <c r="E3" s="278"/>
    </row>
    <row r="4" spans="1:9" ht="17.25" customHeight="1">
      <c r="A4" s="272" t="s">
        <v>980</v>
      </c>
      <c r="B4" s="273"/>
      <c r="C4" s="274"/>
      <c r="D4" s="275"/>
      <c r="E4" s="276" t="s">
        <v>981</v>
      </c>
    </row>
    <row r="5" spans="1:9" ht="17.25" customHeight="1"/>
    <row r="6" spans="1:9" ht="13.8" thickBot="1"/>
    <row r="7" spans="1:9" ht="26.4">
      <c r="A7" s="326" t="s">
        <v>835</v>
      </c>
      <c r="B7" s="327" t="s">
        <v>200</v>
      </c>
      <c r="C7" s="328" t="s">
        <v>28</v>
      </c>
      <c r="D7" s="329"/>
      <c r="E7" s="330"/>
    </row>
    <row r="8" spans="1:9">
      <c r="A8" s="314"/>
      <c r="B8" s="315" t="s">
        <v>347</v>
      </c>
      <c r="C8" s="316" t="s">
        <v>348</v>
      </c>
      <c r="D8" s="317" t="s">
        <v>349</v>
      </c>
      <c r="E8" s="318" t="s">
        <v>350</v>
      </c>
    </row>
    <row r="9" spans="1:9" ht="26.4">
      <c r="A9" s="314" t="s">
        <v>351</v>
      </c>
      <c r="B9" s="315" t="s">
        <v>352</v>
      </c>
      <c r="C9" s="319">
        <v>1</v>
      </c>
      <c r="D9" s="317">
        <v>4.72</v>
      </c>
      <c r="E9" s="320">
        <f>TRUNC(D9*C9,2)</f>
        <v>4.72</v>
      </c>
    </row>
    <row r="10" spans="1:9" ht="26.4">
      <c r="A10" s="314" t="s">
        <v>353</v>
      </c>
      <c r="B10" s="315" t="s">
        <v>354</v>
      </c>
      <c r="C10" s="319">
        <v>4</v>
      </c>
      <c r="D10" s="317">
        <v>4.63</v>
      </c>
      <c r="E10" s="320">
        <f>TRUNC(D10*C10,2)</f>
        <v>18.52</v>
      </c>
      <c r="I10" s="219">
        <v>2.2400000000000002</v>
      </c>
    </row>
    <row r="11" spans="1:9" ht="26.4">
      <c r="A11" s="314" t="s">
        <v>355</v>
      </c>
      <c r="B11" s="315" t="s">
        <v>356</v>
      </c>
      <c r="C11" s="319">
        <v>1</v>
      </c>
      <c r="D11" s="317">
        <v>225</v>
      </c>
      <c r="E11" s="320">
        <f>TRUNC(D11*C11,2)</f>
        <v>225</v>
      </c>
      <c r="I11" s="219">
        <v>213.69</v>
      </c>
    </row>
    <row r="12" spans="1:9">
      <c r="A12" s="314" t="s">
        <v>357</v>
      </c>
      <c r="B12" s="315" t="s">
        <v>358</v>
      </c>
      <c r="C12" s="319">
        <v>0.11</v>
      </c>
      <c r="D12" s="317">
        <v>15.05</v>
      </c>
      <c r="E12" s="320">
        <f>TRUNC(D12*C12,2)</f>
        <v>1.65</v>
      </c>
      <c r="I12" s="219">
        <v>8.33</v>
      </c>
    </row>
    <row r="13" spans="1:9" ht="26.4">
      <c r="A13" s="314" t="s">
        <v>359</v>
      </c>
      <c r="B13" s="315" t="s">
        <v>360</v>
      </c>
      <c r="C13" s="319">
        <v>0.01</v>
      </c>
      <c r="D13" s="317">
        <v>262.43</v>
      </c>
      <c r="E13" s="320">
        <f>TRUNC(D13*C13,2)</f>
        <v>2.62</v>
      </c>
      <c r="I13" s="219">
        <v>161.13999999999999</v>
      </c>
    </row>
    <row r="14" spans="1:9">
      <c r="A14" s="314"/>
      <c r="B14" s="315"/>
      <c r="C14" s="319"/>
      <c r="D14" s="317" t="s">
        <v>361</v>
      </c>
      <c r="E14" s="320">
        <f>SUM(E9:E13)</f>
        <v>252.51000000000002</v>
      </c>
      <c r="I14" s="219" t="s">
        <v>361</v>
      </c>
    </row>
    <row r="15" spans="1:9">
      <c r="A15" s="314" t="s">
        <v>362</v>
      </c>
      <c r="B15" s="315" t="s">
        <v>363</v>
      </c>
      <c r="C15" s="319">
        <v>1</v>
      </c>
      <c r="D15" s="317">
        <v>18.13</v>
      </c>
      <c r="E15" s="320">
        <f>TRUNC(D15*C15,2)</f>
        <v>18.13</v>
      </c>
      <c r="I15" s="219">
        <v>12.32</v>
      </c>
    </row>
    <row r="16" spans="1:9">
      <c r="A16" s="314" t="s">
        <v>364</v>
      </c>
      <c r="B16" s="315" t="s">
        <v>365</v>
      </c>
      <c r="C16" s="319">
        <v>2</v>
      </c>
      <c r="D16" s="317">
        <v>14.55</v>
      </c>
      <c r="E16" s="320">
        <f>TRUNC(D16*C16,2)</f>
        <v>29.1</v>
      </c>
      <c r="I16" s="219">
        <v>10.1</v>
      </c>
    </row>
    <row r="17" spans="1:9">
      <c r="A17" s="314"/>
      <c r="B17" s="315"/>
      <c r="C17" s="319"/>
      <c r="D17" s="317" t="s">
        <v>366</v>
      </c>
      <c r="E17" s="320">
        <f>E16+E15</f>
        <v>47.230000000000004</v>
      </c>
      <c r="I17" s="219" t="s">
        <v>366</v>
      </c>
    </row>
    <row r="18" spans="1:9" ht="13.8" thickBot="1">
      <c r="A18" s="321"/>
      <c r="B18" s="322"/>
      <c r="C18" s="323"/>
      <c r="D18" s="324" t="s">
        <v>367</v>
      </c>
      <c r="E18" s="325">
        <f>E17+E14</f>
        <v>299.74</v>
      </c>
      <c r="I18" s="219" t="s">
        <v>367</v>
      </c>
    </row>
    <row r="19" spans="1:9">
      <c r="A19" s="309"/>
      <c r="B19" s="310"/>
      <c r="C19" s="311"/>
      <c r="D19" s="312"/>
      <c r="E19" s="313"/>
      <c r="I19" s="219" t="s">
        <v>1045</v>
      </c>
    </row>
    <row r="20" spans="1:9">
      <c r="A20" s="229"/>
      <c r="B20" s="230"/>
      <c r="C20" s="231"/>
      <c r="D20" s="234"/>
      <c r="E20" s="235"/>
      <c r="I20" s="219" t="s">
        <v>196</v>
      </c>
    </row>
    <row r="22" spans="1:9" ht="26.4">
      <c r="A22" s="253" t="s">
        <v>836</v>
      </c>
      <c r="B22" s="215" t="s">
        <v>339</v>
      </c>
      <c r="C22" s="216" t="s">
        <v>292</v>
      </c>
    </row>
    <row r="23" spans="1:9">
      <c r="A23" s="236"/>
      <c r="B23" s="237" t="s">
        <v>347</v>
      </c>
      <c r="C23" s="238" t="s">
        <v>348</v>
      </c>
      <c r="D23" s="239" t="s">
        <v>349</v>
      </c>
      <c r="E23" s="239" t="s">
        <v>350</v>
      </c>
      <c r="I23" s="219" t="s">
        <v>349</v>
      </c>
    </row>
    <row r="24" spans="1:9" ht="26.4">
      <c r="A24" s="224" t="s">
        <v>820</v>
      </c>
      <c r="B24" s="225" t="s">
        <v>821</v>
      </c>
      <c r="C24" s="226">
        <v>1</v>
      </c>
      <c r="D24" s="227">
        <v>3.7</v>
      </c>
      <c r="E24" s="228">
        <v>3.7</v>
      </c>
      <c r="I24" s="219">
        <v>3.7</v>
      </c>
    </row>
    <row r="25" spans="1:9">
      <c r="A25" s="229"/>
      <c r="B25" s="230"/>
      <c r="C25" s="231"/>
      <c r="D25" s="232" t="s">
        <v>361</v>
      </c>
      <c r="E25" s="233">
        <v>3.7</v>
      </c>
      <c r="I25" s="219" t="s">
        <v>361</v>
      </c>
    </row>
    <row r="26" spans="1:9">
      <c r="A26" s="229"/>
      <c r="B26" s="230"/>
      <c r="C26" s="231"/>
      <c r="D26" s="232" t="s">
        <v>367</v>
      </c>
      <c r="E26" s="233">
        <v>3.7</v>
      </c>
      <c r="I26" s="219" t="s">
        <v>367</v>
      </c>
    </row>
    <row r="27" spans="1:9">
      <c r="A27" s="229"/>
      <c r="B27" s="230"/>
      <c r="C27" s="231"/>
      <c r="D27" s="232" t="s">
        <v>1045</v>
      </c>
      <c r="E27" s="233">
        <v>1.06</v>
      </c>
      <c r="I27" s="219" t="s">
        <v>1045</v>
      </c>
    </row>
    <row r="28" spans="1:9">
      <c r="A28" s="229"/>
      <c r="B28" s="230"/>
      <c r="C28" s="231"/>
      <c r="D28" s="234" t="s">
        <v>196</v>
      </c>
      <c r="E28" s="235">
        <v>4.76</v>
      </c>
      <c r="I28" s="219" t="s">
        <v>196</v>
      </c>
    </row>
    <row r="30" spans="1:9" ht="26.4">
      <c r="A30" s="253" t="s">
        <v>837</v>
      </c>
      <c r="B30" s="215" t="s">
        <v>341</v>
      </c>
      <c r="C30" s="216" t="s">
        <v>342</v>
      </c>
    </row>
    <row r="31" spans="1:9">
      <c r="A31" s="236"/>
      <c r="B31" s="237" t="s">
        <v>347</v>
      </c>
      <c r="C31" s="238" t="s">
        <v>348</v>
      </c>
      <c r="D31" s="239" t="s">
        <v>349</v>
      </c>
      <c r="E31" s="239" t="s">
        <v>350</v>
      </c>
      <c r="I31" s="219" t="s">
        <v>349</v>
      </c>
    </row>
    <row r="32" spans="1:9">
      <c r="A32" s="224" t="s">
        <v>820</v>
      </c>
      <c r="B32" s="225" t="s">
        <v>822</v>
      </c>
      <c r="C32" s="226">
        <v>1</v>
      </c>
      <c r="D32" s="227">
        <v>0.45</v>
      </c>
      <c r="E32" s="228">
        <v>0.45</v>
      </c>
      <c r="I32" s="219">
        <v>0.45</v>
      </c>
    </row>
    <row r="33" spans="1:9">
      <c r="A33" s="229"/>
      <c r="B33" s="230"/>
      <c r="C33" s="231"/>
      <c r="D33" s="232" t="s">
        <v>361</v>
      </c>
      <c r="E33" s="233">
        <v>0.45</v>
      </c>
      <c r="I33" s="219" t="s">
        <v>361</v>
      </c>
    </row>
    <row r="34" spans="1:9">
      <c r="A34" s="229"/>
      <c r="B34" s="230"/>
      <c r="C34" s="231"/>
      <c r="D34" s="232" t="s">
        <v>367</v>
      </c>
      <c r="E34" s="233">
        <v>0.45</v>
      </c>
      <c r="I34" s="219" t="s">
        <v>367</v>
      </c>
    </row>
    <row r="35" spans="1:9">
      <c r="A35" s="229"/>
      <c r="B35" s="230"/>
      <c r="C35" s="231"/>
      <c r="D35" s="232" t="s">
        <v>1045</v>
      </c>
      <c r="E35" s="233">
        <v>0.12</v>
      </c>
      <c r="I35" s="219" t="s">
        <v>1045</v>
      </c>
    </row>
    <row r="36" spans="1:9">
      <c r="A36" s="229"/>
      <c r="B36" s="230"/>
      <c r="C36" s="231"/>
      <c r="D36" s="234" t="s">
        <v>196</v>
      </c>
      <c r="E36" s="235">
        <v>0.57000000000000006</v>
      </c>
      <c r="I36" s="219" t="s">
        <v>196</v>
      </c>
    </row>
    <row r="38" spans="1:9" ht="26.4">
      <c r="A38" s="214" t="s">
        <v>838</v>
      </c>
      <c r="B38" s="215" t="s">
        <v>202</v>
      </c>
      <c r="C38" s="216" t="s">
        <v>28</v>
      </c>
    </row>
    <row r="39" spans="1:9">
      <c r="A39" s="220"/>
      <c r="B39" s="221" t="s">
        <v>347</v>
      </c>
      <c r="C39" s="222" t="s">
        <v>348</v>
      </c>
      <c r="D39" s="223" t="s">
        <v>349</v>
      </c>
      <c r="E39" s="223" t="s">
        <v>350</v>
      </c>
      <c r="I39" s="219" t="s">
        <v>349</v>
      </c>
    </row>
    <row r="40" spans="1:9" ht="26.4">
      <c r="A40" s="224" t="s">
        <v>368</v>
      </c>
      <c r="B40" s="225" t="s">
        <v>369</v>
      </c>
      <c r="C40" s="226">
        <v>6.6199999999999995E-2</v>
      </c>
      <c r="D40" s="227">
        <v>5.58</v>
      </c>
      <c r="E40" s="228">
        <v>0.36</v>
      </c>
      <c r="I40" s="219">
        <v>5.58</v>
      </c>
    </row>
    <row r="41" spans="1:9">
      <c r="A41" s="229" t="s">
        <v>370</v>
      </c>
      <c r="B41" s="230" t="s">
        <v>371</v>
      </c>
      <c r="C41" s="231">
        <v>4.1700000000000001E-2</v>
      </c>
      <c r="D41" s="232">
        <v>232.59</v>
      </c>
      <c r="E41" s="233">
        <v>9.69</v>
      </c>
      <c r="I41" s="219">
        <v>232.59</v>
      </c>
    </row>
    <row r="42" spans="1:9" ht="26.4">
      <c r="A42" s="229" t="s">
        <v>372</v>
      </c>
      <c r="B42" s="230" t="s">
        <v>373</v>
      </c>
      <c r="C42" s="231">
        <v>5.0648999999999997</v>
      </c>
      <c r="D42" s="232">
        <v>5.99</v>
      </c>
      <c r="E42" s="233">
        <v>30.33</v>
      </c>
      <c r="I42" s="219">
        <v>5.99</v>
      </c>
    </row>
    <row r="43" spans="1:9" ht="52.8">
      <c r="A43" s="229" t="s">
        <v>374</v>
      </c>
      <c r="B43" s="230" t="s">
        <v>375</v>
      </c>
      <c r="C43" s="231">
        <v>0.13250000000000001</v>
      </c>
      <c r="D43" s="232">
        <v>1.58</v>
      </c>
      <c r="E43" s="233">
        <v>0.2</v>
      </c>
      <c r="I43" s="219">
        <v>1.58</v>
      </c>
    </row>
    <row r="44" spans="1:9" ht="39.6">
      <c r="A44" s="229" t="s">
        <v>376</v>
      </c>
      <c r="B44" s="230" t="s">
        <v>377</v>
      </c>
      <c r="C44" s="231">
        <v>0.17219999999999999</v>
      </c>
      <c r="D44" s="232">
        <v>0.8</v>
      </c>
      <c r="E44" s="233">
        <v>0.13</v>
      </c>
      <c r="I44" s="219">
        <v>0.8</v>
      </c>
    </row>
    <row r="45" spans="1:9" ht="26.4">
      <c r="A45" s="229" t="s">
        <v>378</v>
      </c>
      <c r="B45" s="230" t="s">
        <v>379</v>
      </c>
      <c r="C45" s="231">
        <v>0.153</v>
      </c>
      <c r="D45" s="232">
        <v>494.49</v>
      </c>
      <c r="E45" s="233">
        <v>75.650000000000006</v>
      </c>
      <c r="I45" s="219">
        <v>494.49</v>
      </c>
    </row>
    <row r="46" spans="1:9" ht="39.6">
      <c r="A46" s="229" t="s">
        <v>380</v>
      </c>
      <c r="B46" s="230" t="s">
        <v>381</v>
      </c>
      <c r="C46" s="231">
        <v>6.6199999999999995E-2</v>
      </c>
      <c r="D46" s="232">
        <v>3.99</v>
      </c>
      <c r="E46" s="233">
        <v>0.26</v>
      </c>
      <c r="I46" s="219">
        <v>3.99</v>
      </c>
    </row>
    <row r="47" spans="1:9" ht="39.6">
      <c r="A47" s="229" t="s">
        <v>382</v>
      </c>
      <c r="B47" s="230" t="s">
        <v>383</v>
      </c>
      <c r="C47" s="231">
        <v>0.13250000000000001</v>
      </c>
      <c r="D47" s="232">
        <v>4.71</v>
      </c>
      <c r="E47" s="233">
        <v>0.62</v>
      </c>
      <c r="I47" s="219">
        <v>4.71</v>
      </c>
    </row>
    <row r="48" spans="1:9" ht="39.6">
      <c r="A48" s="229" t="s">
        <v>384</v>
      </c>
      <c r="B48" s="230" t="s">
        <v>385</v>
      </c>
      <c r="C48" s="231">
        <v>0.17219999999999999</v>
      </c>
      <c r="D48" s="232">
        <v>5.16</v>
      </c>
      <c r="E48" s="233">
        <v>0.88</v>
      </c>
      <c r="I48" s="219">
        <v>5.16</v>
      </c>
    </row>
    <row r="49" spans="1:9" ht="26.4">
      <c r="A49" s="229" t="s">
        <v>386</v>
      </c>
      <c r="B49" s="230" t="s">
        <v>387</v>
      </c>
      <c r="C49" s="231">
        <v>0.67549999999999999</v>
      </c>
      <c r="D49" s="232">
        <v>1.1000000000000001</v>
      </c>
      <c r="E49" s="233">
        <v>0.74</v>
      </c>
      <c r="I49" s="219">
        <v>1.1000000000000001</v>
      </c>
    </row>
    <row r="50" spans="1:9" ht="26.4">
      <c r="A50" s="229" t="s">
        <v>388</v>
      </c>
      <c r="B50" s="230" t="s">
        <v>389</v>
      </c>
      <c r="C50" s="231">
        <v>6.6199999999999995E-2</v>
      </c>
      <c r="D50" s="232">
        <v>23.73</v>
      </c>
      <c r="E50" s="233">
        <v>1.57</v>
      </c>
      <c r="I50" s="219">
        <v>23.73</v>
      </c>
    </row>
    <row r="51" spans="1:9" ht="39.6">
      <c r="A51" s="229" t="s">
        <v>390</v>
      </c>
      <c r="B51" s="230" t="s">
        <v>391</v>
      </c>
      <c r="C51" s="231">
        <v>1.7192000000000001</v>
      </c>
      <c r="D51" s="232">
        <v>8.52</v>
      </c>
      <c r="E51" s="233">
        <v>14.64</v>
      </c>
      <c r="I51" s="219">
        <v>8.52</v>
      </c>
    </row>
    <row r="52" spans="1:9" ht="26.4">
      <c r="A52" s="229" t="s">
        <v>392</v>
      </c>
      <c r="B52" s="230" t="s">
        <v>393</v>
      </c>
      <c r="C52" s="231">
        <v>4.0399999999999998E-2</v>
      </c>
      <c r="D52" s="232">
        <v>39.950000000000003</v>
      </c>
      <c r="E52" s="233">
        <v>1.61</v>
      </c>
      <c r="I52" s="219">
        <v>39.950000000000003</v>
      </c>
    </row>
    <row r="53" spans="1:9" ht="39.6">
      <c r="A53" s="229" t="s">
        <v>394</v>
      </c>
      <c r="B53" s="230" t="s">
        <v>395</v>
      </c>
      <c r="C53" s="231">
        <v>1.7192000000000001</v>
      </c>
      <c r="D53" s="232">
        <v>24.859999999999992</v>
      </c>
      <c r="E53" s="233">
        <v>42.73</v>
      </c>
      <c r="I53" s="219">
        <v>24.859999999999992</v>
      </c>
    </row>
    <row r="54" spans="1:9" ht="26.4">
      <c r="A54" s="229" t="s">
        <v>396</v>
      </c>
      <c r="B54" s="230" t="s">
        <v>397</v>
      </c>
      <c r="C54" s="231">
        <v>6.6199999999999995E-2</v>
      </c>
      <c r="D54" s="232">
        <v>398.26</v>
      </c>
      <c r="E54" s="233">
        <v>26.36</v>
      </c>
      <c r="I54" s="219">
        <v>398.26</v>
      </c>
    </row>
    <row r="55" spans="1:9" ht="26.4">
      <c r="A55" s="229" t="s">
        <v>398</v>
      </c>
      <c r="B55" s="230" t="s">
        <v>399</v>
      </c>
      <c r="C55" s="231">
        <v>9.2999999999999992E-3</v>
      </c>
      <c r="D55" s="232">
        <v>7.86</v>
      </c>
      <c r="E55" s="233">
        <v>7.0000000000000007E-2</v>
      </c>
      <c r="I55" s="219">
        <v>7.86</v>
      </c>
    </row>
    <row r="56" spans="1:9" ht="26.4">
      <c r="A56" s="229" t="s">
        <v>400</v>
      </c>
      <c r="B56" s="230" t="s">
        <v>401</v>
      </c>
      <c r="C56" s="231">
        <v>1.5109999999999999</v>
      </c>
      <c r="D56" s="232">
        <v>13.11</v>
      </c>
      <c r="E56" s="233">
        <v>19.8</v>
      </c>
      <c r="I56" s="219">
        <v>13.11</v>
      </c>
    </row>
    <row r="57" spans="1:9" ht="26.4">
      <c r="A57" s="229" t="s">
        <v>402</v>
      </c>
      <c r="B57" s="230" t="s">
        <v>403</v>
      </c>
      <c r="C57" s="231">
        <v>0.13250000000000001</v>
      </c>
      <c r="D57" s="232">
        <v>13.11</v>
      </c>
      <c r="E57" s="233">
        <v>1.73</v>
      </c>
      <c r="I57" s="219">
        <v>13.11</v>
      </c>
    </row>
    <row r="58" spans="1:9">
      <c r="A58" s="229" t="s">
        <v>404</v>
      </c>
      <c r="B58" s="230" t="s">
        <v>405</v>
      </c>
      <c r="C58" s="231">
        <v>1.06E-2</v>
      </c>
      <c r="D58" s="232">
        <v>24.23</v>
      </c>
      <c r="E58" s="233">
        <v>0.25</v>
      </c>
      <c r="I58" s="219">
        <v>24.23</v>
      </c>
    </row>
    <row r="59" spans="1:9" ht="26.4">
      <c r="A59" s="229" t="s">
        <v>406</v>
      </c>
      <c r="B59" s="230" t="s">
        <v>407</v>
      </c>
      <c r="C59" s="231">
        <v>6.6199999999999995E-2</v>
      </c>
      <c r="D59" s="232">
        <v>55.58</v>
      </c>
      <c r="E59" s="233">
        <v>3.67</v>
      </c>
      <c r="I59" s="219">
        <v>55.58</v>
      </c>
    </row>
    <row r="60" spans="1:9" ht="39.6">
      <c r="A60" s="229" t="s">
        <v>408</v>
      </c>
      <c r="B60" s="230" t="s">
        <v>409</v>
      </c>
      <c r="C60" s="231">
        <v>0.51359999999999995</v>
      </c>
      <c r="D60" s="232">
        <v>56.69</v>
      </c>
      <c r="E60" s="233">
        <v>29.11</v>
      </c>
      <c r="I60" s="219">
        <v>56.69</v>
      </c>
    </row>
    <row r="61" spans="1:9" ht="39.6">
      <c r="A61" s="229" t="s">
        <v>410</v>
      </c>
      <c r="B61" s="230" t="s">
        <v>411</v>
      </c>
      <c r="C61" s="231">
        <v>0.59109999999999996</v>
      </c>
      <c r="D61" s="232">
        <v>58.22</v>
      </c>
      <c r="E61" s="233">
        <v>34.409999999999997</v>
      </c>
      <c r="I61" s="219">
        <v>58.22</v>
      </c>
    </row>
    <row r="62" spans="1:9" ht="39.6">
      <c r="A62" s="229" t="s">
        <v>412</v>
      </c>
      <c r="B62" s="230" t="s">
        <v>413</v>
      </c>
      <c r="C62" s="231">
        <v>0.80230000000000001</v>
      </c>
      <c r="D62" s="232">
        <v>67.400000000000006</v>
      </c>
      <c r="E62" s="233">
        <v>54.07</v>
      </c>
      <c r="I62" s="219">
        <v>67.400000000000006</v>
      </c>
    </row>
    <row r="63" spans="1:9" ht="39.6">
      <c r="A63" s="229" t="s">
        <v>414</v>
      </c>
      <c r="B63" s="230" t="s">
        <v>415</v>
      </c>
      <c r="C63" s="231">
        <v>0.62549999999999994</v>
      </c>
      <c r="D63" s="232">
        <v>86.25</v>
      </c>
      <c r="E63" s="233">
        <v>53.94</v>
      </c>
      <c r="I63" s="219">
        <v>86.25</v>
      </c>
    </row>
    <row r="64" spans="1:9">
      <c r="A64" s="229"/>
      <c r="B64" s="230"/>
      <c r="C64" s="231"/>
      <c r="D64" s="232" t="s">
        <v>361</v>
      </c>
      <c r="E64" s="233">
        <v>402.81999999999994</v>
      </c>
      <c r="I64" s="219" t="s">
        <v>361</v>
      </c>
    </row>
    <row r="65" spans="1:9">
      <c r="A65" s="229"/>
      <c r="B65" s="230"/>
      <c r="C65" s="231"/>
      <c r="D65" s="232" t="s">
        <v>367</v>
      </c>
      <c r="E65" s="233">
        <v>402.81999999999994</v>
      </c>
      <c r="I65" s="219" t="s">
        <v>367</v>
      </c>
    </row>
    <row r="66" spans="1:9">
      <c r="A66" s="229"/>
      <c r="B66" s="230"/>
      <c r="C66" s="231"/>
      <c r="D66" s="232" t="s">
        <v>1045</v>
      </c>
      <c r="E66" s="233">
        <v>116.09</v>
      </c>
      <c r="I66" s="219" t="s">
        <v>1045</v>
      </c>
    </row>
    <row r="67" spans="1:9">
      <c r="A67" s="229"/>
      <c r="B67" s="230"/>
      <c r="C67" s="231"/>
      <c r="D67" s="234" t="s">
        <v>196</v>
      </c>
      <c r="E67" s="235">
        <v>518.91</v>
      </c>
      <c r="I67" s="219" t="s">
        <v>196</v>
      </c>
    </row>
    <row r="69" spans="1:9" ht="26.4">
      <c r="A69" s="214" t="s">
        <v>839</v>
      </c>
      <c r="B69" s="215" t="s">
        <v>270</v>
      </c>
      <c r="C69" s="216" t="s">
        <v>271</v>
      </c>
    </row>
    <row r="70" spans="1:9">
      <c r="A70" s="220"/>
      <c r="B70" s="221" t="s">
        <v>347</v>
      </c>
      <c r="C70" s="222" t="s">
        <v>348</v>
      </c>
      <c r="D70" s="223" t="s">
        <v>349</v>
      </c>
      <c r="E70" s="223" t="s">
        <v>350</v>
      </c>
      <c r="I70" s="219" t="s">
        <v>349</v>
      </c>
    </row>
    <row r="71" spans="1:9" ht="26.4">
      <c r="A71" s="224" t="s">
        <v>351</v>
      </c>
      <c r="B71" s="225" t="s">
        <v>352</v>
      </c>
      <c r="C71" s="226">
        <v>0.74450000000000005</v>
      </c>
      <c r="D71" s="227">
        <v>2.58</v>
      </c>
      <c r="E71" s="228">
        <v>1.92</v>
      </c>
      <c r="I71" s="219">
        <v>2.58</v>
      </c>
    </row>
    <row r="72" spans="1:9" ht="26.4">
      <c r="A72" s="229" t="s">
        <v>416</v>
      </c>
      <c r="B72" s="230" t="s">
        <v>417</v>
      </c>
      <c r="C72" s="231">
        <v>0.41249999999999998</v>
      </c>
      <c r="D72" s="232">
        <v>5.93</v>
      </c>
      <c r="E72" s="233">
        <v>2.44</v>
      </c>
      <c r="I72" s="219">
        <v>5.93</v>
      </c>
    </row>
    <row r="73" spans="1:9">
      <c r="A73" s="229" t="s">
        <v>418</v>
      </c>
      <c r="B73" s="230" t="s">
        <v>419</v>
      </c>
      <c r="C73" s="231">
        <v>0.111</v>
      </c>
      <c r="D73" s="232">
        <v>8.33</v>
      </c>
      <c r="E73" s="233">
        <v>0.92</v>
      </c>
      <c r="I73" s="219">
        <v>8.33</v>
      </c>
    </row>
    <row r="74" spans="1:9">
      <c r="A74" s="229" t="s">
        <v>420</v>
      </c>
      <c r="B74" s="230" t="s">
        <v>421</v>
      </c>
      <c r="C74" s="231">
        <v>2.5600000000000001E-2</v>
      </c>
      <c r="D74" s="232">
        <v>13.31</v>
      </c>
      <c r="E74" s="233">
        <v>0.34</v>
      </c>
      <c r="I74" s="219">
        <v>13.31</v>
      </c>
    </row>
    <row r="75" spans="1:9" ht="26.4">
      <c r="A75" s="229" t="s">
        <v>422</v>
      </c>
      <c r="B75" s="230" t="s">
        <v>423</v>
      </c>
      <c r="C75" s="231">
        <v>0.55000000000000004</v>
      </c>
      <c r="D75" s="232">
        <v>2.76</v>
      </c>
      <c r="E75" s="233">
        <v>1.51</v>
      </c>
      <c r="I75" s="219">
        <v>2.76</v>
      </c>
    </row>
    <row r="76" spans="1:9" ht="26.4">
      <c r="A76" s="229" t="s">
        <v>424</v>
      </c>
      <c r="B76" s="230" t="s">
        <v>425</v>
      </c>
      <c r="C76" s="231">
        <v>3.8999999999999998E-3</v>
      </c>
      <c r="D76" s="232">
        <v>14.9</v>
      </c>
      <c r="E76" s="233">
        <v>0.05</v>
      </c>
      <c r="I76" s="219">
        <v>14.9</v>
      </c>
    </row>
    <row r="77" spans="1:9" ht="26.4">
      <c r="A77" s="229" t="s">
        <v>426</v>
      </c>
      <c r="B77" s="230" t="s">
        <v>427</v>
      </c>
      <c r="C77" s="231">
        <v>1.6799999999999999E-2</v>
      </c>
      <c r="D77" s="232">
        <v>13.13</v>
      </c>
      <c r="E77" s="233">
        <v>0.22</v>
      </c>
      <c r="I77" s="219">
        <v>13.13</v>
      </c>
    </row>
    <row r="78" spans="1:9" ht="26.4">
      <c r="A78" s="229" t="s">
        <v>428</v>
      </c>
      <c r="B78" s="230" t="s">
        <v>429</v>
      </c>
      <c r="C78" s="231">
        <v>4.5999999999999999E-3</v>
      </c>
      <c r="D78" s="232">
        <v>224.92</v>
      </c>
      <c r="E78" s="233">
        <v>1.03</v>
      </c>
      <c r="I78" s="219">
        <v>224.92</v>
      </c>
    </row>
    <row r="79" spans="1:9">
      <c r="A79" s="229" t="s">
        <v>430</v>
      </c>
      <c r="B79" s="230" t="s">
        <v>431</v>
      </c>
      <c r="C79" s="231">
        <v>1.5</v>
      </c>
      <c r="D79" s="232">
        <v>1.1499999999999999</v>
      </c>
      <c r="E79" s="233">
        <v>1.72</v>
      </c>
      <c r="I79" s="219">
        <v>1.1499999999999999</v>
      </c>
    </row>
    <row r="80" spans="1:9">
      <c r="A80" s="229"/>
      <c r="B80" s="230"/>
      <c r="C80" s="231"/>
      <c r="D80" s="232" t="s">
        <v>361</v>
      </c>
      <c r="E80" s="233">
        <v>10.149999999999999</v>
      </c>
      <c r="I80" s="219" t="s">
        <v>361</v>
      </c>
    </row>
    <row r="81" spans="1:9">
      <c r="A81" s="229" t="s">
        <v>432</v>
      </c>
      <c r="B81" s="230" t="s">
        <v>433</v>
      </c>
      <c r="C81" s="231">
        <v>0.35630000000000001</v>
      </c>
      <c r="D81" s="232">
        <v>10.44</v>
      </c>
      <c r="E81" s="233">
        <v>3.71</v>
      </c>
      <c r="I81" s="219">
        <v>10.44</v>
      </c>
    </row>
    <row r="82" spans="1:9">
      <c r="A82" s="229" t="s">
        <v>362</v>
      </c>
      <c r="B82" s="230" t="s">
        <v>363</v>
      </c>
      <c r="C82" s="231">
        <v>0.71250000000000002</v>
      </c>
      <c r="D82" s="232">
        <v>12.32</v>
      </c>
      <c r="E82" s="233">
        <v>8.77</v>
      </c>
      <c r="I82" s="219">
        <v>12.32</v>
      </c>
    </row>
    <row r="83" spans="1:9">
      <c r="A83" s="229"/>
      <c r="B83" s="230"/>
      <c r="C83" s="231"/>
      <c r="D83" s="232" t="s">
        <v>366</v>
      </c>
      <c r="E83" s="233">
        <v>12.48</v>
      </c>
      <c r="I83" s="219" t="s">
        <v>366</v>
      </c>
    </row>
    <row r="84" spans="1:9">
      <c r="A84" s="229"/>
      <c r="B84" s="230"/>
      <c r="C84" s="231"/>
      <c r="D84" s="232" t="s">
        <v>367</v>
      </c>
      <c r="E84" s="233">
        <v>22.63</v>
      </c>
      <c r="I84" s="219" t="s">
        <v>367</v>
      </c>
    </row>
    <row r="85" spans="1:9">
      <c r="A85" s="229"/>
      <c r="B85" s="230"/>
      <c r="C85" s="231"/>
      <c r="D85" s="232" t="s">
        <v>1045</v>
      </c>
      <c r="E85" s="233">
        <v>6.52</v>
      </c>
      <c r="I85" s="219" t="s">
        <v>1045</v>
      </c>
    </row>
    <row r="86" spans="1:9">
      <c r="A86" s="229"/>
      <c r="B86" s="230"/>
      <c r="C86" s="231"/>
      <c r="D86" s="234" t="s">
        <v>196</v>
      </c>
      <c r="E86" s="235">
        <v>29.15</v>
      </c>
      <c r="I86" s="219" t="s">
        <v>196</v>
      </c>
    </row>
    <row r="88" spans="1:9" ht="26.4">
      <c r="A88" s="214" t="s">
        <v>840</v>
      </c>
      <c r="B88" s="215" t="s">
        <v>287</v>
      </c>
      <c r="C88" s="216" t="s">
        <v>292</v>
      </c>
    </row>
    <row r="89" spans="1:9">
      <c r="A89" s="220"/>
      <c r="B89" s="221" t="s">
        <v>347</v>
      </c>
      <c r="C89" s="222" t="s">
        <v>348</v>
      </c>
      <c r="D89" s="223" t="s">
        <v>349</v>
      </c>
      <c r="E89" s="223" t="s">
        <v>350</v>
      </c>
      <c r="I89" s="219" t="s">
        <v>349</v>
      </c>
    </row>
    <row r="90" spans="1:9" ht="26.4">
      <c r="A90" s="224" t="s">
        <v>434</v>
      </c>
      <c r="B90" s="225" t="s">
        <v>435</v>
      </c>
      <c r="C90" s="226">
        <v>3.2467999999999999</v>
      </c>
      <c r="D90" s="227">
        <v>15.44</v>
      </c>
      <c r="E90" s="228">
        <v>50.13</v>
      </c>
      <c r="I90" s="219">
        <v>15.44</v>
      </c>
    </row>
    <row r="91" spans="1:9" ht="26.4">
      <c r="A91" s="229" t="s">
        <v>436</v>
      </c>
      <c r="B91" s="230" t="s">
        <v>437</v>
      </c>
      <c r="C91" s="231">
        <v>0.92020000000000002</v>
      </c>
      <c r="D91" s="232">
        <v>14.57</v>
      </c>
      <c r="E91" s="233">
        <v>13.4</v>
      </c>
      <c r="I91" s="219">
        <v>14.57</v>
      </c>
    </row>
    <row r="92" spans="1:9" ht="26.4">
      <c r="A92" s="229" t="s">
        <v>438</v>
      </c>
      <c r="B92" s="230" t="s">
        <v>439</v>
      </c>
      <c r="C92" s="231">
        <v>0.28349999999999997</v>
      </c>
      <c r="D92" s="232">
        <v>6.89</v>
      </c>
      <c r="E92" s="233">
        <v>1.95</v>
      </c>
      <c r="I92" s="219">
        <v>6.89</v>
      </c>
    </row>
    <row r="93" spans="1:9">
      <c r="A93" s="229"/>
      <c r="B93" s="230"/>
      <c r="C93" s="231"/>
      <c r="D93" s="232" t="s">
        <v>361</v>
      </c>
      <c r="E93" s="233">
        <v>65.48</v>
      </c>
      <c r="I93" s="219" t="s">
        <v>361</v>
      </c>
    </row>
    <row r="94" spans="1:9">
      <c r="A94" s="229" t="s">
        <v>440</v>
      </c>
      <c r="B94" s="230" t="s">
        <v>441</v>
      </c>
      <c r="C94" s="231">
        <v>0.63660000000000005</v>
      </c>
      <c r="D94" s="232">
        <v>12.42</v>
      </c>
      <c r="E94" s="233">
        <v>7.9</v>
      </c>
      <c r="I94" s="219">
        <v>12.42</v>
      </c>
    </row>
    <row r="95" spans="1:9">
      <c r="A95" s="229" t="s">
        <v>364</v>
      </c>
      <c r="B95" s="230" t="s">
        <v>365</v>
      </c>
      <c r="C95" s="231">
        <v>6.5785</v>
      </c>
      <c r="D95" s="232">
        <v>10.1</v>
      </c>
      <c r="E95" s="233">
        <v>66.44</v>
      </c>
      <c r="I95" s="219">
        <v>10.1</v>
      </c>
    </row>
    <row r="96" spans="1:9">
      <c r="A96" s="229"/>
      <c r="B96" s="230"/>
      <c r="C96" s="231"/>
      <c r="D96" s="232" t="s">
        <v>366</v>
      </c>
      <c r="E96" s="233">
        <v>74.34</v>
      </c>
      <c r="I96" s="219" t="s">
        <v>366</v>
      </c>
    </row>
    <row r="97" spans="1:9">
      <c r="A97" s="229"/>
      <c r="B97" s="230"/>
      <c r="C97" s="231"/>
      <c r="D97" s="232" t="s">
        <v>367</v>
      </c>
      <c r="E97" s="233">
        <v>139.82</v>
      </c>
      <c r="I97" s="219" t="s">
        <v>367</v>
      </c>
    </row>
    <row r="98" spans="1:9">
      <c r="A98" s="229"/>
      <c r="B98" s="230"/>
      <c r="C98" s="231"/>
      <c r="D98" s="232" t="s">
        <v>1045</v>
      </c>
      <c r="E98" s="233">
        <v>40.29</v>
      </c>
      <c r="I98" s="219" t="s">
        <v>1045</v>
      </c>
    </row>
    <row r="99" spans="1:9">
      <c r="A99" s="229"/>
      <c r="B99" s="230"/>
      <c r="C99" s="231"/>
      <c r="D99" s="234" t="s">
        <v>196</v>
      </c>
      <c r="E99" s="235">
        <v>180.10999999999999</v>
      </c>
      <c r="I99" s="219" t="s">
        <v>196</v>
      </c>
    </row>
    <row r="101" spans="1:9" ht="26.4">
      <c r="A101" s="214" t="s">
        <v>841</v>
      </c>
      <c r="B101" s="215" t="s">
        <v>288</v>
      </c>
      <c r="C101" s="216" t="s">
        <v>292</v>
      </c>
    </row>
    <row r="102" spans="1:9">
      <c r="A102" s="220"/>
      <c r="B102" s="221" t="s">
        <v>347</v>
      </c>
      <c r="C102" s="222" t="s">
        <v>348</v>
      </c>
      <c r="D102" s="223" t="s">
        <v>349</v>
      </c>
      <c r="E102" s="223" t="s">
        <v>350</v>
      </c>
      <c r="I102" s="219" t="s">
        <v>349</v>
      </c>
    </row>
    <row r="103" spans="1:9">
      <c r="A103" s="224" t="s">
        <v>440</v>
      </c>
      <c r="B103" s="225" t="s">
        <v>441</v>
      </c>
      <c r="C103" s="226">
        <v>0.22500000000000001</v>
      </c>
      <c r="D103" s="227">
        <v>12.42</v>
      </c>
      <c r="E103" s="228">
        <v>2.79</v>
      </c>
      <c r="I103" s="219">
        <v>12.42</v>
      </c>
    </row>
    <row r="104" spans="1:9">
      <c r="A104" s="229" t="s">
        <v>364</v>
      </c>
      <c r="B104" s="230" t="s">
        <v>365</v>
      </c>
      <c r="C104" s="231">
        <v>2.3248000000000002</v>
      </c>
      <c r="D104" s="232">
        <v>10.1</v>
      </c>
      <c r="E104" s="233">
        <v>23.48</v>
      </c>
      <c r="I104" s="219">
        <v>10.1</v>
      </c>
    </row>
    <row r="105" spans="1:9">
      <c r="A105" s="229"/>
      <c r="B105" s="230"/>
      <c r="C105" s="231"/>
      <c r="D105" s="232" t="s">
        <v>366</v>
      </c>
      <c r="E105" s="233">
        <v>26.27</v>
      </c>
      <c r="I105" s="219" t="s">
        <v>366</v>
      </c>
    </row>
    <row r="106" spans="1:9">
      <c r="A106" s="229"/>
      <c r="B106" s="230"/>
      <c r="C106" s="231"/>
      <c r="D106" s="232" t="s">
        <v>367</v>
      </c>
      <c r="E106" s="233">
        <v>26.27</v>
      </c>
      <c r="I106" s="219" t="s">
        <v>367</v>
      </c>
    </row>
    <row r="107" spans="1:9">
      <c r="A107" s="229"/>
      <c r="B107" s="230"/>
      <c r="C107" s="231"/>
      <c r="D107" s="232" t="s">
        <v>1045</v>
      </c>
      <c r="E107" s="233">
        <v>7.57</v>
      </c>
      <c r="I107" s="219" t="s">
        <v>1045</v>
      </c>
    </row>
    <row r="108" spans="1:9">
      <c r="A108" s="229"/>
      <c r="B108" s="230"/>
      <c r="C108" s="231"/>
      <c r="D108" s="234" t="s">
        <v>196</v>
      </c>
      <c r="E108" s="235">
        <v>33.840000000000003</v>
      </c>
      <c r="I108" s="219" t="s">
        <v>196</v>
      </c>
    </row>
    <row r="110" spans="1:9" ht="26.4">
      <c r="A110" s="214" t="s">
        <v>842</v>
      </c>
      <c r="B110" s="215" t="s">
        <v>318</v>
      </c>
      <c r="C110" s="216" t="s">
        <v>293</v>
      </c>
    </row>
    <row r="111" spans="1:9">
      <c r="A111" s="220"/>
      <c r="B111" s="221" t="s">
        <v>347</v>
      </c>
      <c r="C111" s="222" t="s">
        <v>348</v>
      </c>
      <c r="D111" s="223" t="s">
        <v>349</v>
      </c>
      <c r="E111" s="223" t="s">
        <v>350</v>
      </c>
      <c r="I111" s="219" t="s">
        <v>349</v>
      </c>
    </row>
    <row r="112" spans="1:9">
      <c r="A112" s="224" t="s">
        <v>442</v>
      </c>
      <c r="B112" s="225" t="s">
        <v>443</v>
      </c>
      <c r="C112" s="226">
        <v>2.58E-2</v>
      </c>
      <c r="D112" s="227">
        <v>12.09</v>
      </c>
      <c r="E112" s="228">
        <v>0.31</v>
      </c>
      <c r="I112" s="219">
        <v>12.09</v>
      </c>
    </row>
    <row r="113" spans="1:9">
      <c r="A113" s="229" t="s">
        <v>364</v>
      </c>
      <c r="B113" s="230" t="s">
        <v>365</v>
      </c>
      <c r="C113" s="231">
        <v>5.0700000000000002E-2</v>
      </c>
      <c r="D113" s="232">
        <v>10.1</v>
      </c>
      <c r="E113" s="233">
        <v>0.51</v>
      </c>
      <c r="I113" s="219">
        <v>10.1</v>
      </c>
    </row>
    <row r="114" spans="1:9">
      <c r="A114" s="229"/>
      <c r="B114" s="230"/>
      <c r="C114" s="231"/>
      <c r="D114" s="232" t="s">
        <v>366</v>
      </c>
      <c r="E114" s="233">
        <v>0.82000000000000006</v>
      </c>
      <c r="I114" s="219" t="s">
        <v>366</v>
      </c>
    </row>
    <row r="115" spans="1:9">
      <c r="A115" s="229"/>
      <c r="B115" s="230"/>
      <c r="C115" s="231"/>
      <c r="D115" s="232" t="s">
        <v>367</v>
      </c>
      <c r="E115" s="233">
        <v>0.82000000000000006</v>
      </c>
      <c r="I115" s="219" t="s">
        <v>367</v>
      </c>
    </row>
    <row r="116" spans="1:9">
      <c r="A116" s="229"/>
      <c r="B116" s="230"/>
      <c r="C116" s="231"/>
      <c r="D116" s="232" t="s">
        <v>1045</v>
      </c>
      <c r="E116" s="233">
        <v>0.23</v>
      </c>
      <c r="I116" s="219" t="s">
        <v>1045</v>
      </c>
    </row>
    <row r="117" spans="1:9">
      <c r="A117" s="229"/>
      <c r="B117" s="230"/>
      <c r="C117" s="231"/>
      <c r="D117" s="234" t="s">
        <v>196</v>
      </c>
      <c r="E117" s="235">
        <v>1.05</v>
      </c>
      <c r="I117" s="219" t="s">
        <v>196</v>
      </c>
    </row>
    <row r="119" spans="1:9" ht="26.4">
      <c r="A119" s="214" t="s">
        <v>843</v>
      </c>
      <c r="B119" s="215" t="s">
        <v>289</v>
      </c>
      <c r="C119" s="216" t="s">
        <v>293</v>
      </c>
    </row>
    <row r="120" spans="1:9">
      <c r="A120" s="220"/>
      <c r="B120" s="221" t="s">
        <v>347</v>
      </c>
      <c r="C120" s="222" t="s">
        <v>348</v>
      </c>
      <c r="D120" s="223" t="s">
        <v>349</v>
      </c>
      <c r="E120" s="223" t="s">
        <v>350</v>
      </c>
      <c r="I120" s="219" t="s">
        <v>349</v>
      </c>
    </row>
    <row r="121" spans="1:9" ht="26.4">
      <c r="A121" s="224" t="s">
        <v>434</v>
      </c>
      <c r="B121" s="225" t="s">
        <v>435</v>
      </c>
      <c r="C121" s="226">
        <v>6.9900000000000004E-2</v>
      </c>
      <c r="D121" s="227">
        <v>15.44</v>
      </c>
      <c r="E121" s="228">
        <v>1.07</v>
      </c>
      <c r="I121" s="219">
        <v>15.44</v>
      </c>
    </row>
    <row r="122" spans="1:9" ht="26.4">
      <c r="A122" s="229" t="s">
        <v>436</v>
      </c>
      <c r="B122" s="230" t="s">
        <v>437</v>
      </c>
      <c r="C122" s="231">
        <v>4.82E-2</v>
      </c>
      <c r="D122" s="232">
        <v>14.57</v>
      </c>
      <c r="E122" s="233">
        <v>0.7</v>
      </c>
      <c r="I122" s="219">
        <v>14.57</v>
      </c>
    </row>
    <row r="123" spans="1:9">
      <c r="A123" s="229"/>
      <c r="B123" s="230"/>
      <c r="C123" s="231"/>
      <c r="D123" s="232" t="s">
        <v>361</v>
      </c>
      <c r="E123" s="233">
        <v>1.77</v>
      </c>
      <c r="I123" s="219" t="s">
        <v>361</v>
      </c>
    </row>
    <row r="124" spans="1:9">
      <c r="A124" s="229" t="s">
        <v>444</v>
      </c>
      <c r="B124" s="230" t="s">
        <v>445</v>
      </c>
      <c r="C124" s="231">
        <v>0.1055</v>
      </c>
      <c r="D124" s="232">
        <v>12.37</v>
      </c>
      <c r="E124" s="233">
        <v>1.3</v>
      </c>
      <c r="I124" s="219">
        <v>12.37</v>
      </c>
    </row>
    <row r="125" spans="1:9">
      <c r="A125" s="229" t="s">
        <v>364</v>
      </c>
      <c r="B125" s="230" t="s">
        <v>365</v>
      </c>
      <c r="C125" s="231">
        <v>0.29720000000000002</v>
      </c>
      <c r="D125" s="232">
        <v>10.1</v>
      </c>
      <c r="E125" s="233">
        <v>3</v>
      </c>
      <c r="I125" s="219">
        <v>10.1</v>
      </c>
    </row>
    <row r="126" spans="1:9">
      <c r="A126" s="229"/>
      <c r="B126" s="230"/>
      <c r="C126" s="231"/>
      <c r="D126" s="232" t="s">
        <v>366</v>
      </c>
      <c r="E126" s="233">
        <v>4.3</v>
      </c>
      <c r="I126" s="219" t="s">
        <v>366</v>
      </c>
    </row>
    <row r="127" spans="1:9">
      <c r="A127" s="229"/>
      <c r="B127" s="230"/>
      <c r="C127" s="231"/>
      <c r="D127" s="232" t="s">
        <v>367</v>
      </c>
      <c r="E127" s="233">
        <v>6.07</v>
      </c>
      <c r="I127" s="219" t="s">
        <v>367</v>
      </c>
    </row>
    <row r="128" spans="1:9">
      <c r="A128" s="229"/>
      <c r="B128" s="230"/>
      <c r="C128" s="231"/>
      <c r="D128" s="232" t="s">
        <v>1045</v>
      </c>
      <c r="E128" s="233">
        <v>1.74</v>
      </c>
      <c r="I128" s="219" t="s">
        <v>1045</v>
      </c>
    </row>
    <row r="129" spans="1:9">
      <c r="A129" s="229"/>
      <c r="B129" s="230"/>
      <c r="C129" s="231"/>
      <c r="D129" s="234" t="s">
        <v>196</v>
      </c>
      <c r="E129" s="235">
        <v>7.8100000000000005</v>
      </c>
      <c r="I129" s="219" t="s">
        <v>196</v>
      </c>
    </row>
    <row r="131" spans="1:9" ht="26.4">
      <c r="A131" s="214" t="s">
        <v>844</v>
      </c>
      <c r="B131" s="215" t="s">
        <v>290</v>
      </c>
      <c r="C131" s="216" t="s">
        <v>293</v>
      </c>
    </row>
    <row r="132" spans="1:9">
      <c r="A132" s="220"/>
      <c r="B132" s="221" t="s">
        <v>347</v>
      </c>
      <c r="C132" s="222" t="s">
        <v>348</v>
      </c>
      <c r="D132" s="223" t="s">
        <v>349</v>
      </c>
      <c r="E132" s="223" t="s">
        <v>350</v>
      </c>
      <c r="I132" s="219" t="s">
        <v>349</v>
      </c>
    </row>
    <row r="133" spans="1:9">
      <c r="A133" s="224" t="s">
        <v>364</v>
      </c>
      <c r="B133" s="225" t="s">
        <v>365</v>
      </c>
      <c r="C133" s="226">
        <v>9.7100000000000006E-2</v>
      </c>
      <c r="D133" s="227">
        <v>10.1</v>
      </c>
      <c r="E133" s="228">
        <v>0.98</v>
      </c>
      <c r="I133" s="219">
        <v>10.1</v>
      </c>
    </row>
    <row r="134" spans="1:9">
      <c r="A134" s="229" t="s">
        <v>446</v>
      </c>
      <c r="B134" s="230" t="s">
        <v>447</v>
      </c>
      <c r="C134" s="231">
        <v>4.9399999999999999E-2</v>
      </c>
      <c r="D134" s="232">
        <v>13.13</v>
      </c>
      <c r="E134" s="233">
        <v>0.64</v>
      </c>
      <c r="I134" s="219">
        <v>13.13</v>
      </c>
    </row>
    <row r="135" spans="1:9">
      <c r="A135" s="229"/>
      <c r="B135" s="230"/>
      <c r="C135" s="231"/>
      <c r="D135" s="232" t="s">
        <v>366</v>
      </c>
      <c r="E135" s="233">
        <v>1.62</v>
      </c>
      <c r="I135" s="219" t="s">
        <v>366</v>
      </c>
    </row>
    <row r="136" spans="1:9">
      <c r="A136" s="229"/>
      <c r="B136" s="230"/>
      <c r="C136" s="231"/>
      <c r="D136" s="232" t="s">
        <v>367</v>
      </c>
      <c r="E136" s="233">
        <v>1.62</v>
      </c>
      <c r="I136" s="219" t="s">
        <v>367</v>
      </c>
    </row>
    <row r="137" spans="1:9">
      <c r="A137" s="229"/>
      <c r="B137" s="230"/>
      <c r="C137" s="231"/>
      <c r="D137" s="232" t="s">
        <v>1045</v>
      </c>
      <c r="E137" s="233">
        <v>0.46</v>
      </c>
      <c r="I137" s="219" t="s">
        <v>1045</v>
      </c>
    </row>
    <row r="138" spans="1:9">
      <c r="A138" s="229"/>
      <c r="B138" s="230"/>
      <c r="C138" s="231"/>
      <c r="D138" s="234" t="s">
        <v>196</v>
      </c>
      <c r="E138" s="235">
        <v>2.08</v>
      </c>
      <c r="I138" s="219" t="s">
        <v>196</v>
      </c>
    </row>
    <row r="140" spans="1:9" ht="26.4">
      <c r="A140" s="214" t="s">
        <v>845</v>
      </c>
      <c r="B140" s="215" t="s">
        <v>294</v>
      </c>
      <c r="C140" s="216" t="s">
        <v>292</v>
      </c>
    </row>
    <row r="141" spans="1:9">
      <c r="A141" s="220"/>
      <c r="B141" s="221" t="s">
        <v>347</v>
      </c>
      <c r="C141" s="222" t="s">
        <v>348</v>
      </c>
      <c r="D141" s="223" t="s">
        <v>349</v>
      </c>
      <c r="E141" s="223" t="s">
        <v>350</v>
      </c>
      <c r="I141" s="219" t="s">
        <v>349</v>
      </c>
    </row>
    <row r="142" spans="1:9" ht="39.6">
      <c r="A142" s="224" t="s">
        <v>448</v>
      </c>
      <c r="B142" s="225" t="s">
        <v>449</v>
      </c>
      <c r="C142" s="226">
        <v>3.27E-2</v>
      </c>
      <c r="D142" s="227">
        <v>84.59</v>
      </c>
      <c r="E142" s="228">
        <v>2.76</v>
      </c>
      <c r="I142" s="219">
        <v>84.59</v>
      </c>
    </row>
    <row r="143" spans="1:9">
      <c r="A143" s="229"/>
      <c r="B143" s="230"/>
      <c r="C143" s="231"/>
      <c r="D143" s="232" t="s">
        <v>361</v>
      </c>
      <c r="E143" s="233">
        <v>2.76</v>
      </c>
      <c r="I143" s="219" t="s">
        <v>361</v>
      </c>
    </row>
    <row r="144" spans="1:9">
      <c r="A144" s="229"/>
      <c r="B144" s="230"/>
      <c r="C144" s="231"/>
      <c r="D144" s="232" t="s">
        <v>367</v>
      </c>
      <c r="E144" s="233">
        <v>2.76</v>
      </c>
      <c r="I144" s="219" t="s">
        <v>367</v>
      </c>
    </row>
    <row r="145" spans="1:9">
      <c r="A145" s="229"/>
      <c r="B145" s="230"/>
      <c r="C145" s="231"/>
      <c r="D145" s="232" t="s">
        <v>1045</v>
      </c>
      <c r="E145" s="233">
        <v>0.79</v>
      </c>
      <c r="I145" s="219" t="s">
        <v>1045</v>
      </c>
    </row>
    <row r="146" spans="1:9">
      <c r="A146" s="229"/>
      <c r="B146" s="230"/>
      <c r="C146" s="231"/>
      <c r="D146" s="234" t="s">
        <v>196</v>
      </c>
      <c r="E146" s="235">
        <v>3.55</v>
      </c>
      <c r="I146" s="219" t="s">
        <v>196</v>
      </c>
    </row>
    <row r="148" spans="1:9" ht="26.4">
      <c r="A148" s="253" t="s">
        <v>846</v>
      </c>
      <c r="B148" s="215" t="s">
        <v>272</v>
      </c>
      <c r="C148" s="216" t="s">
        <v>26</v>
      </c>
    </row>
    <row r="149" spans="1:9">
      <c r="A149" s="236"/>
      <c r="B149" s="237" t="s">
        <v>347</v>
      </c>
      <c r="C149" s="238" t="s">
        <v>348</v>
      </c>
      <c r="D149" s="239" t="s">
        <v>349</v>
      </c>
      <c r="E149" s="239" t="s">
        <v>350</v>
      </c>
      <c r="I149" s="219" t="s">
        <v>349</v>
      </c>
    </row>
    <row r="150" spans="1:9" ht="26.4">
      <c r="A150" s="224" t="s">
        <v>450</v>
      </c>
      <c r="B150" s="225" t="s">
        <v>823</v>
      </c>
      <c r="C150" s="226">
        <v>1</v>
      </c>
      <c r="D150" s="227">
        <v>26.71</v>
      </c>
      <c r="E150" s="228">
        <v>26.71</v>
      </c>
      <c r="I150" s="219">
        <v>26.71</v>
      </c>
    </row>
    <row r="151" spans="1:9">
      <c r="A151" s="229"/>
      <c r="B151" s="230"/>
      <c r="C151" s="231"/>
      <c r="D151" s="232" t="s">
        <v>361</v>
      </c>
      <c r="E151" s="233">
        <v>26.71</v>
      </c>
      <c r="I151" s="219" t="s">
        <v>361</v>
      </c>
    </row>
    <row r="152" spans="1:9">
      <c r="A152" s="229"/>
      <c r="B152" s="230"/>
      <c r="C152" s="231"/>
      <c r="D152" s="232" t="s">
        <v>367</v>
      </c>
      <c r="E152" s="233">
        <v>26.71</v>
      </c>
      <c r="I152" s="219" t="s">
        <v>367</v>
      </c>
    </row>
    <row r="153" spans="1:9">
      <c r="A153" s="229"/>
      <c r="B153" s="230"/>
      <c r="C153" s="231"/>
      <c r="D153" s="232" t="s">
        <v>1045</v>
      </c>
      <c r="E153" s="233">
        <v>7.69</v>
      </c>
      <c r="I153" s="219" t="s">
        <v>1045</v>
      </c>
    </row>
    <row r="154" spans="1:9">
      <c r="A154" s="229"/>
      <c r="B154" s="230"/>
      <c r="C154" s="231"/>
      <c r="D154" s="234" t="s">
        <v>196</v>
      </c>
      <c r="E154" s="235">
        <v>34.4</v>
      </c>
      <c r="I154" s="219" t="s">
        <v>196</v>
      </c>
    </row>
    <row r="156" spans="1:9" ht="26.4">
      <c r="A156" s="214" t="s">
        <v>847</v>
      </c>
      <c r="B156" s="215" t="s">
        <v>275</v>
      </c>
      <c r="C156" s="216" t="s">
        <v>274</v>
      </c>
    </row>
    <row r="157" spans="1:9">
      <c r="A157" s="220"/>
      <c r="B157" s="221" t="s">
        <v>347</v>
      </c>
      <c r="C157" s="222" t="s">
        <v>348</v>
      </c>
      <c r="D157" s="223" t="s">
        <v>349</v>
      </c>
      <c r="E157" s="223" t="s">
        <v>350</v>
      </c>
      <c r="I157" s="219" t="s">
        <v>349</v>
      </c>
    </row>
    <row r="158" spans="1:9" ht="39.6">
      <c r="A158" s="224" t="s">
        <v>451</v>
      </c>
      <c r="B158" s="225" t="s">
        <v>452</v>
      </c>
      <c r="C158" s="226">
        <v>1.4489999999999999E-2</v>
      </c>
      <c r="D158" s="227">
        <v>74.510000000000005</v>
      </c>
      <c r="E158" s="228">
        <v>1.07</v>
      </c>
      <c r="I158" s="219">
        <v>74.510000000000005</v>
      </c>
    </row>
    <row r="159" spans="1:9" ht="39.6">
      <c r="A159" s="229" t="s">
        <v>453</v>
      </c>
      <c r="B159" s="230" t="s">
        <v>454</v>
      </c>
      <c r="C159" s="231">
        <v>3.62E-3</v>
      </c>
      <c r="D159" s="232">
        <v>23.16</v>
      </c>
      <c r="E159" s="233">
        <v>0.08</v>
      </c>
      <c r="I159" s="219">
        <v>23.16</v>
      </c>
    </row>
    <row r="160" spans="1:9">
      <c r="A160" s="229"/>
      <c r="B160" s="230"/>
      <c r="C160" s="231"/>
      <c r="D160" s="232" t="s">
        <v>361</v>
      </c>
      <c r="E160" s="233">
        <v>1.1500000000000001</v>
      </c>
      <c r="I160" s="219" t="s">
        <v>361</v>
      </c>
    </row>
    <row r="161" spans="1:9">
      <c r="A161" s="229"/>
      <c r="B161" s="230"/>
      <c r="C161" s="231"/>
      <c r="D161" s="232" t="s">
        <v>367</v>
      </c>
      <c r="E161" s="233">
        <v>1.1500000000000001</v>
      </c>
      <c r="I161" s="219" t="s">
        <v>367</v>
      </c>
    </row>
    <row r="162" spans="1:9">
      <c r="A162" s="229"/>
      <c r="B162" s="230"/>
      <c r="C162" s="231"/>
      <c r="D162" s="232" t="s">
        <v>1045</v>
      </c>
      <c r="E162" s="233">
        <v>0.33</v>
      </c>
      <c r="I162" s="219" t="s">
        <v>1045</v>
      </c>
    </row>
    <row r="163" spans="1:9">
      <c r="A163" s="229"/>
      <c r="B163" s="230"/>
      <c r="C163" s="231"/>
      <c r="D163" s="234" t="s">
        <v>196</v>
      </c>
      <c r="E163" s="235">
        <v>1.4800000000000002</v>
      </c>
      <c r="I163" s="219" t="s">
        <v>196</v>
      </c>
    </row>
    <row r="165" spans="1:9" ht="26.4">
      <c r="A165" s="214" t="s">
        <v>848</v>
      </c>
      <c r="B165" s="215" t="s">
        <v>159</v>
      </c>
      <c r="C165" s="216" t="s">
        <v>26</v>
      </c>
    </row>
    <row r="166" spans="1:9">
      <c r="A166" s="220"/>
      <c r="B166" s="221" t="s">
        <v>347</v>
      </c>
      <c r="C166" s="222" t="s">
        <v>348</v>
      </c>
      <c r="D166" s="223" t="s">
        <v>349</v>
      </c>
      <c r="E166" s="223" t="s">
        <v>350</v>
      </c>
      <c r="I166" s="219" t="s">
        <v>349</v>
      </c>
    </row>
    <row r="167" spans="1:9">
      <c r="A167" s="224" t="s">
        <v>364</v>
      </c>
      <c r="B167" s="225" t="s">
        <v>365</v>
      </c>
      <c r="C167" s="226">
        <v>3.956</v>
      </c>
      <c r="D167" s="227">
        <v>10.1</v>
      </c>
      <c r="E167" s="228">
        <v>39.950000000000003</v>
      </c>
      <c r="I167" s="219">
        <v>10.1</v>
      </c>
    </row>
    <row r="168" spans="1:9">
      <c r="A168" s="229"/>
      <c r="B168" s="230"/>
      <c r="C168" s="231"/>
      <c r="D168" s="232" t="s">
        <v>366</v>
      </c>
      <c r="E168" s="233">
        <v>39.950000000000003</v>
      </c>
      <c r="I168" s="219" t="s">
        <v>366</v>
      </c>
    </row>
    <row r="169" spans="1:9">
      <c r="A169" s="229"/>
      <c r="B169" s="230"/>
      <c r="C169" s="231"/>
      <c r="D169" s="232" t="s">
        <v>367</v>
      </c>
      <c r="E169" s="233">
        <v>39.950000000000003</v>
      </c>
      <c r="I169" s="219" t="s">
        <v>367</v>
      </c>
    </row>
    <row r="170" spans="1:9">
      <c r="A170" s="229"/>
      <c r="B170" s="230"/>
      <c r="C170" s="231"/>
      <c r="D170" s="232" t="s">
        <v>1045</v>
      </c>
      <c r="E170" s="233">
        <v>11.51</v>
      </c>
      <c r="I170" s="219" t="s">
        <v>1045</v>
      </c>
    </row>
    <row r="171" spans="1:9">
      <c r="A171" s="229"/>
      <c r="B171" s="230"/>
      <c r="C171" s="231"/>
      <c r="D171" s="234" t="s">
        <v>196</v>
      </c>
      <c r="E171" s="235">
        <v>51.46</v>
      </c>
      <c r="I171" s="219" t="s">
        <v>196</v>
      </c>
    </row>
    <row r="173" spans="1:9" ht="26.4">
      <c r="A173" s="214" t="s">
        <v>849</v>
      </c>
      <c r="B173" s="215" t="s">
        <v>160</v>
      </c>
      <c r="C173" s="216" t="s">
        <v>28</v>
      </c>
    </row>
    <row r="174" spans="1:9">
      <c r="A174" s="220"/>
      <c r="B174" s="221" t="s">
        <v>347</v>
      </c>
      <c r="C174" s="222" t="s">
        <v>348</v>
      </c>
      <c r="D174" s="223" t="s">
        <v>349</v>
      </c>
      <c r="E174" s="223" t="s">
        <v>350</v>
      </c>
      <c r="I174" s="219" t="s">
        <v>349</v>
      </c>
    </row>
    <row r="175" spans="1:9" ht="26.4">
      <c r="A175" s="224" t="s">
        <v>455</v>
      </c>
      <c r="B175" s="225" t="s">
        <v>456</v>
      </c>
      <c r="C175" s="226">
        <v>3.0000000000000001E-3</v>
      </c>
      <c r="D175" s="227">
        <v>17.34</v>
      </c>
      <c r="E175" s="228">
        <v>0.05</v>
      </c>
      <c r="I175" s="219">
        <v>17.34</v>
      </c>
    </row>
    <row r="176" spans="1:9" ht="26.4">
      <c r="A176" s="229" t="s">
        <v>457</v>
      </c>
      <c r="B176" s="230" t="s">
        <v>458</v>
      </c>
      <c r="C176" s="231">
        <v>3.0000000000000001E-3</v>
      </c>
      <c r="D176" s="232">
        <v>13.69</v>
      </c>
      <c r="E176" s="233">
        <v>0.04</v>
      </c>
      <c r="I176" s="219">
        <v>13.69</v>
      </c>
    </row>
    <row r="177" spans="1:9">
      <c r="A177" s="229"/>
      <c r="B177" s="230"/>
      <c r="C177" s="231"/>
      <c r="D177" s="232" t="s">
        <v>361</v>
      </c>
      <c r="E177" s="233">
        <v>0.09</v>
      </c>
      <c r="I177" s="219" t="s">
        <v>361</v>
      </c>
    </row>
    <row r="178" spans="1:9">
      <c r="A178" s="229" t="s">
        <v>440</v>
      </c>
      <c r="B178" s="230" t="s">
        <v>441</v>
      </c>
      <c r="C178" s="231">
        <v>0.11899999999999999</v>
      </c>
      <c r="D178" s="232">
        <v>12.42</v>
      </c>
      <c r="E178" s="233">
        <v>1.47</v>
      </c>
      <c r="I178" s="219">
        <v>12.42</v>
      </c>
    </row>
    <row r="179" spans="1:9">
      <c r="A179" s="229" t="s">
        <v>364</v>
      </c>
      <c r="B179" s="230" t="s">
        <v>365</v>
      </c>
      <c r="C179" s="231">
        <v>0.17899999999999999</v>
      </c>
      <c r="D179" s="232">
        <v>10.1</v>
      </c>
      <c r="E179" s="233">
        <v>1.8</v>
      </c>
      <c r="I179" s="219">
        <v>10.1</v>
      </c>
    </row>
    <row r="180" spans="1:9">
      <c r="A180" s="229"/>
      <c r="B180" s="230"/>
      <c r="C180" s="231"/>
      <c r="D180" s="232" t="s">
        <v>366</v>
      </c>
      <c r="E180" s="233">
        <v>3.27</v>
      </c>
      <c r="I180" s="219" t="s">
        <v>366</v>
      </c>
    </row>
    <row r="181" spans="1:9">
      <c r="A181" s="229"/>
      <c r="B181" s="230"/>
      <c r="C181" s="231"/>
      <c r="D181" s="232" t="s">
        <v>367</v>
      </c>
      <c r="E181" s="233">
        <v>3.36</v>
      </c>
      <c r="I181" s="219" t="s">
        <v>367</v>
      </c>
    </row>
    <row r="182" spans="1:9">
      <c r="A182" s="229"/>
      <c r="B182" s="230"/>
      <c r="C182" s="231"/>
      <c r="D182" s="232" t="s">
        <v>1045</v>
      </c>
      <c r="E182" s="233">
        <v>0.96</v>
      </c>
      <c r="I182" s="219" t="s">
        <v>1045</v>
      </c>
    </row>
    <row r="183" spans="1:9">
      <c r="A183" s="229"/>
      <c r="B183" s="230"/>
      <c r="C183" s="231"/>
      <c r="D183" s="234" t="s">
        <v>196</v>
      </c>
      <c r="E183" s="235">
        <v>4.32</v>
      </c>
      <c r="I183" s="219" t="s">
        <v>196</v>
      </c>
    </row>
    <row r="185" spans="1:9" ht="26.4">
      <c r="A185" s="214" t="s">
        <v>850</v>
      </c>
      <c r="B185" s="215" t="s">
        <v>161</v>
      </c>
      <c r="C185" s="216" t="s">
        <v>26</v>
      </c>
    </row>
    <row r="186" spans="1:9">
      <c r="A186" s="220"/>
      <c r="B186" s="221" t="s">
        <v>347</v>
      </c>
      <c r="C186" s="222" t="s">
        <v>348</v>
      </c>
      <c r="D186" s="223" t="s">
        <v>349</v>
      </c>
      <c r="E186" s="223" t="s">
        <v>350</v>
      </c>
      <c r="I186" s="219" t="s">
        <v>349</v>
      </c>
    </row>
    <row r="187" spans="1:9" ht="26.4">
      <c r="A187" s="224" t="s">
        <v>459</v>
      </c>
      <c r="B187" s="225" t="s">
        <v>460</v>
      </c>
      <c r="C187" s="226">
        <v>4.2999999999999997E-2</v>
      </c>
      <c r="D187" s="227">
        <v>87.72</v>
      </c>
      <c r="E187" s="228">
        <v>3.77</v>
      </c>
      <c r="I187" s="219">
        <v>87.72</v>
      </c>
    </row>
    <row r="188" spans="1:9" ht="26.4">
      <c r="A188" s="229" t="s">
        <v>461</v>
      </c>
      <c r="B188" s="230" t="s">
        <v>462</v>
      </c>
      <c r="C188" s="231">
        <v>5.7000000000000002E-2</v>
      </c>
      <c r="D188" s="232">
        <v>36.770000000000003</v>
      </c>
      <c r="E188" s="233">
        <v>2.09</v>
      </c>
      <c r="I188" s="219">
        <v>36.770000000000003</v>
      </c>
    </row>
    <row r="189" spans="1:9" ht="26.4">
      <c r="A189" s="229" t="s">
        <v>455</v>
      </c>
      <c r="B189" s="230" t="s">
        <v>456</v>
      </c>
      <c r="C189" s="231">
        <v>9.4E-2</v>
      </c>
      <c r="D189" s="232">
        <v>17.34</v>
      </c>
      <c r="E189" s="233">
        <v>1.62</v>
      </c>
      <c r="I189" s="219">
        <v>17.34</v>
      </c>
    </row>
    <row r="190" spans="1:9" ht="26.4">
      <c r="A190" s="229" t="s">
        <v>457</v>
      </c>
      <c r="B190" s="230" t="s">
        <v>458</v>
      </c>
      <c r="C190" s="231">
        <v>8.6999999999999994E-2</v>
      </c>
      <c r="D190" s="232">
        <v>13.69</v>
      </c>
      <c r="E190" s="233">
        <v>1.19</v>
      </c>
      <c r="I190" s="219">
        <v>13.69</v>
      </c>
    </row>
    <row r="191" spans="1:9" ht="26.4">
      <c r="A191" s="229" t="s">
        <v>463</v>
      </c>
      <c r="B191" s="230" t="s">
        <v>464</v>
      </c>
      <c r="C191" s="231">
        <v>1</v>
      </c>
      <c r="D191" s="232">
        <v>0.91</v>
      </c>
      <c r="E191" s="233">
        <v>0.91</v>
      </c>
      <c r="I191" s="219">
        <v>0.91</v>
      </c>
    </row>
    <row r="192" spans="1:9">
      <c r="A192" s="229"/>
      <c r="B192" s="230"/>
      <c r="C192" s="231"/>
      <c r="D192" s="232" t="s">
        <v>361</v>
      </c>
      <c r="E192" s="233">
        <v>9.58</v>
      </c>
      <c r="I192" s="219" t="s">
        <v>361</v>
      </c>
    </row>
    <row r="193" spans="1:9">
      <c r="A193" s="229" t="s">
        <v>364</v>
      </c>
      <c r="B193" s="230" t="s">
        <v>365</v>
      </c>
      <c r="C193" s="231">
        <v>4.4999999999999998E-2</v>
      </c>
      <c r="D193" s="232">
        <v>10.1</v>
      </c>
      <c r="E193" s="233">
        <v>0.45</v>
      </c>
      <c r="I193" s="219">
        <v>10.1</v>
      </c>
    </row>
    <row r="194" spans="1:9">
      <c r="A194" s="229"/>
      <c r="B194" s="230"/>
      <c r="C194" s="231"/>
      <c r="D194" s="232" t="s">
        <v>366</v>
      </c>
      <c r="E194" s="233">
        <v>0.45</v>
      </c>
      <c r="I194" s="219" t="s">
        <v>366</v>
      </c>
    </row>
    <row r="195" spans="1:9">
      <c r="A195" s="229"/>
      <c r="B195" s="230"/>
      <c r="C195" s="231"/>
      <c r="D195" s="232" t="s">
        <v>367</v>
      </c>
      <c r="E195" s="233">
        <v>10.029999999999999</v>
      </c>
      <c r="I195" s="219" t="s">
        <v>367</v>
      </c>
    </row>
    <row r="196" spans="1:9">
      <c r="A196" s="229"/>
      <c r="B196" s="230"/>
      <c r="C196" s="231"/>
      <c r="D196" s="232" t="s">
        <v>1045</v>
      </c>
      <c r="E196" s="233">
        <v>2.89</v>
      </c>
      <c r="I196" s="219" t="s">
        <v>1045</v>
      </c>
    </row>
    <row r="197" spans="1:9">
      <c r="A197" s="229"/>
      <c r="B197" s="230"/>
      <c r="C197" s="231"/>
      <c r="D197" s="234" t="s">
        <v>196</v>
      </c>
      <c r="E197" s="235">
        <v>12.92</v>
      </c>
      <c r="I197" s="219" t="s">
        <v>196</v>
      </c>
    </row>
    <row r="199" spans="1:9" ht="26.4">
      <c r="A199" s="214" t="s">
        <v>851</v>
      </c>
      <c r="B199" s="215" t="s">
        <v>277</v>
      </c>
      <c r="C199" s="216" t="s">
        <v>32</v>
      </c>
    </row>
    <row r="200" spans="1:9">
      <c r="A200" s="220"/>
      <c r="B200" s="221" t="s">
        <v>347</v>
      </c>
      <c r="C200" s="222" t="s">
        <v>348</v>
      </c>
      <c r="D200" s="223" t="s">
        <v>349</v>
      </c>
      <c r="E200" s="223" t="s">
        <v>350</v>
      </c>
      <c r="I200" s="219" t="s">
        <v>349</v>
      </c>
    </row>
    <row r="201" spans="1:9" ht="26.4">
      <c r="A201" s="224" t="s">
        <v>465</v>
      </c>
      <c r="B201" s="225" t="s">
        <v>466</v>
      </c>
      <c r="C201" s="226">
        <v>2.8889999999999998</v>
      </c>
      <c r="D201" s="227">
        <v>4.2300000000000004</v>
      </c>
      <c r="E201" s="228">
        <v>12.22</v>
      </c>
      <c r="I201" s="219">
        <v>4.2300000000000004</v>
      </c>
    </row>
    <row r="202" spans="1:9" ht="26.4">
      <c r="A202" s="229" t="s">
        <v>467</v>
      </c>
      <c r="B202" s="230" t="s">
        <v>468</v>
      </c>
      <c r="C202" s="231">
        <v>8.5999999999999993E-2</v>
      </c>
      <c r="D202" s="232">
        <v>193.43</v>
      </c>
      <c r="E202" s="233">
        <v>16.63</v>
      </c>
      <c r="I202" s="219">
        <v>193.43</v>
      </c>
    </row>
    <row r="203" spans="1:9">
      <c r="A203" s="229"/>
      <c r="B203" s="230"/>
      <c r="C203" s="231"/>
      <c r="D203" s="232" t="s">
        <v>361</v>
      </c>
      <c r="E203" s="233">
        <v>28.85</v>
      </c>
      <c r="I203" s="219" t="s">
        <v>361</v>
      </c>
    </row>
    <row r="204" spans="1:9">
      <c r="A204" s="229" t="s">
        <v>440</v>
      </c>
      <c r="B204" s="230" t="s">
        <v>441</v>
      </c>
      <c r="C204" s="231">
        <v>1.238</v>
      </c>
      <c r="D204" s="232">
        <v>12.42</v>
      </c>
      <c r="E204" s="233">
        <v>15.37</v>
      </c>
      <c r="I204" s="219">
        <v>12.42</v>
      </c>
    </row>
    <row r="205" spans="1:9">
      <c r="A205" s="229" t="s">
        <v>364</v>
      </c>
      <c r="B205" s="230" t="s">
        <v>365</v>
      </c>
      <c r="C205" s="231">
        <v>1.476</v>
      </c>
      <c r="D205" s="232">
        <v>10.1</v>
      </c>
      <c r="E205" s="233">
        <v>14.9</v>
      </c>
      <c r="I205" s="219">
        <v>10.1</v>
      </c>
    </row>
    <row r="206" spans="1:9">
      <c r="A206" s="229"/>
      <c r="B206" s="230"/>
      <c r="C206" s="231"/>
      <c r="D206" s="232" t="s">
        <v>366</v>
      </c>
      <c r="E206" s="233">
        <v>30.27</v>
      </c>
      <c r="I206" s="219" t="s">
        <v>366</v>
      </c>
    </row>
    <row r="207" spans="1:9">
      <c r="A207" s="229"/>
      <c r="B207" s="230"/>
      <c r="C207" s="231"/>
      <c r="D207" s="232" t="s">
        <v>367</v>
      </c>
      <c r="E207" s="233">
        <v>59.120000000000005</v>
      </c>
      <c r="I207" s="219" t="s">
        <v>367</v>
      </c>
    </row>
    <row r="208" spans="1:9">
      <c r="A208" s="229"/>
      <c r="B208" s="230"/>
      <c r="C208" s="231"/>
      <c r="D208" s="232" t="s">
        <v>1045</v>
      </c>
      <c r="E208" s="233">
        <v>17.03</v>
      </c>
      <c r="I208" s="219" t="s">
        <v>1045</v>
      </c>
    </row>
    <row r="209" spans="1:9">
      <c r="A209" s="229"/>
      <c r="B209" s="230"/>
      <c r="C209" s="231"/>
      <c r="D209" s="234" t="s">
        <v>196</v>
      </c>
      <c r="E209" s="235">
        <v>76.150000000000006</v>
      </c>
      <c r="I209" s="219" t="s">
        <v>196</v>
      </c>
    </row>
    <row r="211" spans="1:9" ht="39.6">
      <c r="A211" s="214" t="s">
        <v>852</v>
      </c>
      <c r="B211" s="215" t="s">
        <v>278</v>
      </c>
      <c r="C211" s="216" t="s">
        <v>26</v>
      </c>
    </row>
    <row r="212" spans="1:9">
      <c r="A212" s="220"/>
      <c r="B212" s="221" t="s">
        <v>347</v>
      </c>
      <c r="C212" s="222" t="s">
        <v>348</v>
      </c>
      <c r="D212" s="223" t="s">
        <v>349</v>
      </c>
      <c r="E212" s="223" t="s">
        <v>350</v>
      </c>
      <c r="I212" s="219" t="s">
        <v>349</v>
      </c>
    </row>
    <row r="213" spans="1:9" ht="39.6">
      <c r="A213" s="224" t="s">
        <v>469</v>
      </c>
      <c r="B213" s="225" t="s">
        <v>470</v>
      </c>
      <c r="C213" s="226">
        <v>1.103</v>
      </c>
      <c r="D213" s="227">
        <v>193.99</v>
      </c>
      <c r="E213" s="228">
        <v>213.97</v>
      </c>
      <c r="I213" s="219">
        <v>193.99</v>
      </c>
    </row>
    <row r="214" spans="1:9" ht="26.4">
      <c r="A214" s="229" t="s">
        <v>471</v>
      </c>
      <c r="B214" s="230" t="s">
        <v>472</v>
      </c>
      <c r="C214" s="231">
        <v>0.67200000000000004</v>
      </c>
      <c r="D214" s="232">
        <v>1.03</v>
      </c>
      <c r="E214" s="233">
        <v>0.69</v>
      </c>
      <c r="I214" s="219">
        <v>1.03</v>
      </c>
    </row>
    <row r="215" spans="1:9" ht="26.4">
      <c r="A215" s="229" t="s">
        <v>473</v>
      </c>
      <c r="B215" s="230" t="s">
        <v>474</v>
      </c>
      <c r="C215" s="231">
        <v>1.1739999999999999</v>
      </c>
      <c r="D215" s="232">
        <v>0.21</v>
      </c>
      <c r="E215" s="233">
        <v>0.24</v>
      </c>
      <c r="I215" s="219">
        <v>0.21</v>
      </c>
    </row>
    <row r="216" spans="1:9">
      <c r="A216" s="229"/>
      <c r="B216" s="230"/>
      <c r="C216" s="231"/>
      <c r="D216" s="232" t="s">
        <v>361</v>
      </c>
      <c r="E216" s="233">
        <v>214.9</v>
      </c>
      <c r="I216" s="219" t="s">
        <v>361</v>
      </c>
    </row>
    <row r="217" spans="1:9">
      <c r="A217" s="229" t="s">
        <v>362</v>
      </c>
      <c r="B217" s="230" t="s">
        <v>363</v>
      </c>
      <c r="C217" s="231">
        <v>1.8460000000000001</v>
      </c>
      <c r="D217" s="232">
        <v>12.32</v>
      </c>
      <c r="E217" s="233">
        <v>22.74</v>
      </c>
      <c r="I217" s="219">
        <v>12.32</v>
      </c>
    </row>
    <row r="218" spans="1:9">
      <c r="A218" s="229" t="s">
        <v>440</v>
      </c>
      <c r="B218" s="230" t="s">
        <v>441</v>
      </c>
      <c r="C218" s="231">
        <v>1.8460000000000001</v>
      </c>
      <c r="D218" s="232">
        <v>12.42</v>
      </c>
      <c r="E218" s="233">
        <v>22.92</v>
      </c>
      <c r="I218" s="219">
        <v>12.42</v>
      </c>
    </row>
    <row r="219" spans="1:9">
      <c r="A219" s="229" t="s">
        <v>364</v>
      </c>
      <c r="B219" s="230" t="s">
        <v>365</v>
      </c>
      <c r="C219" s="231">
        <v>5.5380000000000003</v>
      </c>
      <c r="D219" s="232">
        <v>10.1</v>
      </c>
      <c r="E219" s="233">
        <v>55.93</v>
      </c>
      <c r="I219" s="219">
        <v>10.1</v>
      </c>
    </row>
    <row r="220" spans="1:9">
      <c r="A220" s="229"/>
      <c r="B220" s="230"/>
      <c r="C220" s="231"/>
      <c r="D220" s="232" t="s">
        <v>366</v>
      </c>
      <c r="E220" s="233">
        <v>101.59</v>
      </c>
      <c r="I220" s="219" t="s">
        <v>366</v>
      </c>
    </row>
    <row r="221" spans="1:9">
      <c r="A221" s="229"/>
      <c r="B221" s="230"/>
      <c r="C221" s="231"/>
      <c r="D221" s="232" t="s">
        <v>367</v>
      </c>
      <c r="E221" s="233">
        <v>316.49</v>
      </c>
      <c r="I221" s="219" t="s">
        <v>367</v>
      </c>
    </row>
    <row r="222" spans="1:9">
      <c r="A222" s="229"/>
      <c r="B222" s="230"/>
      <c r="C222" s="231"/>
      <c r="D222" s="232" t="s">
        <v>1045</v>
      </c>
      <c r="E222" s="233">
        <v>91.21</v>
      </c>
      <c r="I222" s="219" t="s">
        <v>1045</v>
      </c>
    </row>
    <row r="223" spans="1:9">
      <c r="A223" s="229"/>
      <c r="B223" s="230"/>
      <c r="C223" s="231"/>
      <c r="D223" s="234" t="s">
        <v>196</v>
      </c>
      <c r="E223" s="235">
        <v>407.7</v>
      </c>
      <c r="I223" s="219" t="s">
        <v>196</v>
      </c>
    </row>
    <row r="225" spans="1:9" ht="39.6">
      <c r="A225" s="214" t="s">
        <v>853</v>
      </c>
      <c r="B225" s="215" t="s">
        <v>279</v>
      </c>
      <c r="C225" s="216" t="s">
        <v>280</v>
      </c>
    </row>
    <row r="226" spans="1:9">
      <c r="A226" s="220"/>
      <c r="B226" s="221" t="s">
        <v>347</v>
      </c>
      <c r="C226" s="222" t="s">
        <v>348</v>
      </c>
      <c r="D226" s="223" t="s">
        <v>349</v>
      </c>
      <c r="E226" s="223" t="s">
        <v>350</v>
      </c>
      <c r="I226" s="219" t="s">
        <v>349</v>
      </c>
    </row>
    <row r="227" spans="1:9">
      <c r="A227" s="224" t="s">
        <v>475</v>
      </c>
      <c r="B227" s="225" t="s">
        <v>476</v>
      </c>
      <c r="C227" s="226">
        <v>2.5000000000000001E-2</v>
      </c>
      <c r="D227" s="227">
        <v>8.44</v>
      </c>
      <c r="E227" s="228">
        <v>0.21</v>
      </c>
      <c r="I227" s="219">
        <v>8.44</v>
      </c>
    </row>
    <row r="228" spans="1:9" ht="26.4">
      <c r="A228" s="229" t="s">
        <v>477</v>
      </c>
      <c r="B228" s="230" t="s">
        <v>478</v>
      </c>
      <c r="C228" s="231">
        <v>1.19</v>
      </c>
      <c r="D228" s="232">
        <v>0.09</v>
      </c>
      <c r="E228" s="233">
        <v>0.1</v>
      </c>
      <c r="I228" s="219">
        <v>0.09</v>
      </c>
    </row>
    <row r="229" spans="1:9" ht="26.4">
      <c r="A229" s="229" t="s">
        <v>479</v>
      </c>
      <c r="B229" s="230" t="s">
        <v>480</v>
      </c>
      <c r="C229" s="231">
        <v>1</v>
      </c>
      <c r="D229" s="232">
        <v>5.21</v>
      </c>
      <c r="E229" s="233">
        <v>5.21</v>
      </c>
      <c r="I229" s="219">
        <v>5.21</v>
      </c>
    </row>
    <row r="230" spans="1:9">
      <c r="A230" s="229"/>
      <c r="B230" s="230"/>
      <c r="C230" s="231"/>
      <c r="D230" s="232" t="s">
        <v>361</v>
      </c>
      <c r="E230" s="233">
        <v>5.52</v>
      </c>
      <c r="I230" s="219" t="s">
        <v>361</v>
      </c>
    </row>
    <row r="231" spans="1:9">
      <c r="A231" s="229" t="s">
        <v>481</v>
      </c>
      <c r="B231" s="230" t="s">
        <v>482</v>
      </c>
      <c r="C231" s="231">
        <v>2.0299999999999999E-2</v>
      </c>
      <c r="D231" s="232">
        <v>9.66</v>
      </c>
      <c r="E231" s="233">
        <v>0.19</v>
      </c>
      <c r="I231" s="219">
        <v>9.66</v>
      </c>
    </row>
    <row r="232" spans="1:9">
      <c r="A232" s="229" t="s">
        <v>483</v>
      </c>
      <c r="B232" s="230" t="s">
        <v>484</v>
      </c>
      <c r="C232" s="231">
        <v>0.1241</v>
      </c>
      <c r="D232" s="232">
        <v>12.35</v>
      </c>
      <c r="E232" s="233">
        <v>1.53</v>
      </c>
      <c r="I232" s="219">
        <v>12.35</v>
      </c>
    </row>
    <row r="233" spans="1:9">
      <c r="A233" s="229"/>
      <c r="B233" s="230"/>
      <c r="C233" s="231"/>
      <c r="D233" s="232" t="s">
        <v>366</v>
      </c>
      <c r="E233" s="233">
        <v>1.72</v>
      </c>
      <c r="I233" s="219" t="s">
        <v>366</v>
      </c>
    </row>
    <row r="234" spans="1:9">
      <c r="A234" s="229"/>
      <c r="B234" s="230"/>
      <c r="C234" s="231"/>
      <c r="D234" s="232" t="s">
        <v>367</v>
      </c>
      <c r="E234" s="233">
        <v>7.2399999999999993</v>
      </c>
      <c r="I234" s="219" t="s">
        <v>367</v>
      </c>
    </row>
    <row r="235" spans="1:9">
      <c r="A235" s="229"/>
      <c r="B235" s="230"/>
      <c r="C235" s="231"/>
      <c r="D235" s="232" t="s">
        <v>1045</v>
      </c>
      <c r="E235" s="233">
        <v>2.08</v>
      </c>
      <c r="I235" s="219" t="s">
        <v>1045</v>
      </c>
    </row>
    <row r="236" spans="1:9">
      <c r="A236" s="229"/>
      <c r="B236" s="230"/>
      <c r="C236" s="231"/>
      <c r="D236" s="234" t="s">
        <v>196</v>
      </c>
      <c r="E236" s="235">
        <v>9.32</v>
      </c>
      <c r="I236" s="219" t="s">
        <v>196</v>
      </c>
    </row>
    <row r="238" spans="1:9" ht="26.4">
      <c r="A238" s="214" t="s">
        <v>854</v>
      </c>
      <c r="B238" s="215" t="s">
        <v>283</v>
      </c>
      <c r="C238" s="216" t="s">
        <v>280</v>
      </c>
    </row>
    <row r="239" spans="1:9">
      <c r="A239" s="220"/>
      <c r="B239" s="221" t="s">
        <v>347</v>
      </c>
      <c r="C239" s="222" t="s">
        <v>348</v>
      </c>
      <c r="D239" s="223" t="s">
        <v>349</v>
      </c>
      <c r="E239" s="223" t="s">
        <v>350</v>
      </c>
      <c r="I239" s="219" t="s">
        <v>349</v>
      </c>
    </row>
    <row r="240" spans="1:9">
      <c r="A240" s="224" t="s">
        <v>475</v>
      </c>
      <c r="B240" s="225" t="s">
        <v>476</v>
      </c>
      <c r="C240" s="226">
        <v>2.5000000000000001E-2</v>
      </c>
      <c r="D240" s="227">
        <v>8.44</v>
      </c>
      <c r="E240" s="228">
        <v>0.21</v>
      </c>
      <c r="I240" s="219">
        <v>8.44</v>
      </c>
    </row>
    <row r="241" spans="1:9" ht="26.4">
      <c r="A241" s="229" t="s">
        <v>477</v>
      </c>
      <c r="B241" s="230" t="s">
        <v>478</v>
      </c>
      <c r="C241" s="231">
        <v>1.19</v>
      </c>
      <c r="D241" s="232">
        <v>0.09</v>
      </c>
      <c r="E241" s="233">
        <v>0.1</v>
      </c>
      <c r="I241" s="219">
        <v>0.09</v>
      </c>
    </row>
    <row r="242" spans="1:9" ht="26.4">
      <c r="A242" s="229" t="s">
        <v>485</v>
      </c>
      <c r="B242" s="230" t="s">
        <v>486</v>
      </c>
      <c r="C242" s="231">
        <v>1</v>
      </c>
      <c r="D242" s="232">
        <v>4.96</v>
      </c>
      <c r="E242" s="233">
        <v>4.96</v>
      </c>
      <c r="I242" s="219">
        <v>4.96</v>
      </c>
    </row>
    <row r="243" spans="1:9">
      <c r="A243" s="229"/>
      <c r="B243" s="230"/>
      <c r="C243" s="231"/>
      <c r="D243" s="232" t="s">
        <v>361</v>
      </c>
      <c r="E243" s="233">
        <v>5.27</v>
      </c>
      <c r="I243" s="219" t="s">
        <v>361</v>
      </c>
    </row>
    <row r="244" spans="1:9">
      <c r="A244" s="229" t="s">
        <v>481</v>
      </c>
      <c r="B244" s="230" t="s">
        <v>482</v>
      </c>
      <c r="C244" s="231">
        <v>4.9000000000000002E-2</v>
      </c>
      <c r="D244" s="232">
        <v>9.66</v>
      </c>
      <c r="E244" s="233">
        <v>0.47</v>
      </c>
      <c r="I244" s="219">
        <v>9.66</v>
      </c>
    </row>
    <row r="245" spans="1:9">
      <c r="A245" s="229" t="s">
        <v>483</v>
      </c>
      <c r="B245" s="230" t="s">
        <v>484</v>
      </c>
      <c r="C245" s="231">
        <v>0.151</v>
      </c>
      <c r="D245" s="232">
        <v>12.35</v>
      </c>
      <c r="E245" s="233">
        <v>1.86</v>
      </c>
      <c r="I245" s="219">
        <v>12.35</v>
      </c>
    </row>
    <row r="246" spans="1:9">
      <c r="A246" s="229"/>
      <c r="B246" s="230"/>
      <c r="C246" s="231"/>
      <c r="D246" s="232" t="s">
        <v>366</v>
      </c>
      <c r="E246" s="233">
        <v>2.33</v>
      </c>
      <c r="I246" s="219" t="s">
        <v>366</v>
      </c>
    </row>
    <row r="247" spans="1:9">
      <c r="A247" s="229"/>
      <c r="B247" s="230"/>
      <c r="C247" s="231"/>
      <c r="D247" s="232" t="s">
        <v>367</v>
      </c>
      <c r="E247" s="233">
        <v>7.6</v>
      </c>
      <c r="I247" s="219" t="s">
        <v>367</v>
      </c>
    </row>
    <row r="248" spans="1:9">
      <c r="A248" s="229"/>
      <c r="B248" s="230"/>
      <c r="C248" s="231"/>
      <c r="D248" s="232" t="s">
        <v>1045</v>
      </c>
      <c r="E248" s="233">
        <v>2.19</v>
      </c>
      <c r="I248" s="219" t="s">
        <v>1045</v>
      </c>
    </row>
    <row r="249" spans="1:9">
      <c r="A249" s="229"/>
      <c r="B249" s="230"/>
      <c r="C249" s="231"/>
      <c r="D249" s="234" t="s">
        <v>196</v>
      </c>
      <c r="E249" s="235">
        <v>9.7899999999999991</v>
      </c>
      <c r="I249" s="219" t="s">
        <v>196</v>
      </c>
    </row>
    <row r="251" spans="1:9" ht="26.4">
      <c r="A251" s="214" t="s">
        <v>855</v>
      </c>
      <c r="B251" s="215" t="s">
        <v>281</v>
      </c>
      <c r="C251" s="216" t="s">
        <v>280</v>
      </c>
    </row>
    <row r="252" spans="1:9">
      <c r="A252" s="220"/>
      <c r="B252" s="221" t="s">
        <v>347</v>
      </c>
      <c r="C252" s="222" t="s">
        <v>348</v>
      </c>
      <c r="D252" s="223" t="s">
        <v>349</v>
      </c>
      <c r="E252" s="223" t="s">
        <v>350</v>
      </c>
      <c r="I252" s="219" t="s">
        <v>349</v>
      </c>
    </row>
    <row r="253" spans="1:9">
      <c r="A253" s="224" t="s">
        <v>475</v>
      </c>
      <c r="B253" s="225" t="s">
        <v>476</v>
      </c>
      <c r="C253" s="226">
        <v>2.5000000000000001E-2</v>
      </c>
      <c r="D253" s="227">
        <v>8.44</v>
      </c>
      <c r="E253" s="228">
        <v>0.21</v>
      </c>
      <c r="I253" s="219">
        <v>8.44</v>
      </c>
    </row>
    <row r="254" spans="1:9" ht="26.4">
      <c r="A254" s="229" t="s">
        <v>477</v>
      </c>
      <c r="B254" s="230" t="s">
        <v>478</v>
      </c>
      <c r="C254" s="231">
        <v>0.46550000000000002</v>
      </c>
      <c r="D254" s="232">
        <v>0.09</v>
      </c>
      <c r="E254" s="233">
        <v>0.04</v>
      </c>
      <c r="I254" s="219">
        <v>0.09</v>
      </c>
    </row>
    <row r="255" spans="1:9" ht="26.4">
      <c r="A255" s="229" t="s">
        <v>487</v>
      </c>
      <c r="B255" s="230" t="s">
        <v>488</v>
      </c>
      <c r="C255" s="231">
        <v>1</v>
      </c>
      <c r="D255" s="232">
        <v>4.5199999999999996</v>
      </c>
      <c r="E255" s="233">
        <v>4.5199999999999996</v>
      </c>
      <c r="I255" s="219">
        <v>4.5199999999999996</v>
      </c>
    </row>
    <row r="256" spans="1:9">
      <c r="A256" s="229"/>
      <c r="B256" s="230"/>
      <c r="C256" s="231"/>
      <c r="D256" s="232" t="s">
        <v>361</v>
      </c>
      <c r="E256" s="233">
        <v>4.7699999999999996</v>
      </c>
      <c r="I256" s="219" t="s">
        <v>361</v>
      </c>
    </row>
    <row r="257" spans="1:9">
      <c r="A257" s="229" t="s">
        <v>481</v>
      </c>
      <c r="B257" s="230" t="s">
        <v>482</v>
      </c>
      <c r="C257" s="231">
        <v>2.9000000000000001E-2</v>
      </c>
      <c r="D257" s="232">
        <v>9.66</v>
      </c>
      <c r="E257" s="233">
        <v>0.28000000000000003</v>
      </c>
      <c r="I257" s="219">
        <v>9.66</v>
      </c>
    </row>
    <row r="258" spans="1:9">
      <c r="A258" s="229" t="s">
        <v>483</v>
      </c>
      <c r="B258" s="230" t="s">
        <v>484</v>
      </c>
      <c r="C258" s="231">
        <v>8.8999999999999996E-2</v>
      </c>
      <c r="D258" s="232">
        <v>12.35</v>
      </c>
      <c r="E258" s="233">
        <v>1.0900000000000001</v>
      </c>
      <c r="I258" s="219">
        <v>12.35</v>
      </c>
    </row>
    <row r="259" spans="1:9">
      <c r="A259" s="229"/>
      <c r="B259" s="230"/>
      <c r="C259" s="231"/>
      <c r="D259" s="232" t="s">
        <v>366</v>
      </c>
      <c r="E259" s="233">
        <v>1.37</v>
      </c>
      <c r="I259" s="219" t="s">
        <v>366</v>
      </c>
    </row>
    <row r="260" spans="1:9">
      <c r="A260" s="229"/>
      <c r="B260" s="230"/>
      <c r="C260" s="231"/>
      <c r="D260" s="232" t="s">
        <v>367</v>
      </c>
      <c r="E260" s="233">
        <v>6.14</v>
      </c>
      <c r="I260" s="219" t="s">
        <v>367</v>
      </c>
    </row>
    <row r="261" spans="1:9">
      <c r="A261" s="229"/>
      <c r="B261" s="230"/>
      <c r="C261" s="231"/>
      <c r="D261" s="232" t="s">
        <v>1045</v>
      </c>
      <c r="E261" s="233">
        <v>1.76</v>
      </c>
      <c r="I261" s="219" t="s">
        <v>1045</v>
      </c>
    </row>
    <row r="262" spans="1:9">
      <c r="A262" s="229"/>
      <c r="B262" s="230"/>
      <c r="C262" s="231"/>
      <c r="D262" s="234" t="s">
        <v>196</v>
      </c>
      <c r="E262" s="235">
        <v>7.8999999999999995</v>
      </c>
      <c r="I262" s="219" t="s">
        <v>196</v>
      </c>
    </row>
    <row r="264" spans="1:9" ht="26.4">
      <c r="A264" s="214" t="s">
        <v>856</v>
      </c>
      <c r="B264" s="215" t="s">
        <v>131</v>
      </c>
      <c r="C264" s="216" t="s">
        <v>28</v>
      </c>
    </row>
    <row r="265" spans="1:9">
      <c r="A265" s="220"/>
      <c r="B265" s="221" t="s">
        <v>347</v>
      </c>
      <c r="C265" s="222" t="s">
        <v>348</v>
      </c>
      <c r="D265" s="223" t="s">
        <v>349</v>
      </c>
      <c r="E265" s="223" t="s">
        <v>350</v>
      </c>
      <c r="I265" s="219" t="s">
        <v>349</v>
      </c>
    </row>
    <row r="266" spans="1:9" ht="26.4">
      <c r="A266" s="224" t="s">
        <v>489</v>
      </c>
      <c r="B266" s="225" t="s">
        <v>490</v>
      </c>
      <c r="C266" s="226">
        <v>5.6500000000000002E-2</v>
      </c>
      <c r="D266" s="227">
        <v>159.36000000000001</v>
      </c>
      <c r="E266" s="228">
        <v>9</v>
      </c>
      <c r="I266" s="219">
        <v>159.36000000000001</v>
      </c>
    </row>
    <row r="267" spans="1:9">
      <c r="A267" s="229"/>
      <c r="B267" s="230"/>
      <c r="C267" s="231"/>
      <c r="D267" s="232" t="s">
        <v>361</v>
      </c>
      <c r="E267" s="233">
        <v>9</v>
      </c>
      <c r="I267" s="219" t="s">
        <v>361</v>
      </c>
    </row>
    <row r="268" spans="1:9">
      <c r="A268" s="229" t="s">
        <v>440</v>
      </c>
      <c r="B268" s="230" t="s">
        <v>441</v>
      </c>
      <c r="C268" s="231">
        <v>0.27179999999999999</v>
      </c>
      <c r="D268" s="232">
        <v>12.42</v>
      </c>
      <c r="E268" s="233">
        <v>3.37</v>
      </c>
      <c r="I268" s="219">
        <v>12.42</v>
      </c>
    </row>
    <row r="269" spans="1:9">
      <c r="A269" s="229" t="s">
        <v>364</v>
      </c>
      <c r="B269" s="230" t="s">
        <v>365</v>
      </c>
      <c r="C269" s="231">
        <v>7.4099999999999999E-2</v>
      </c>
      <c r="D269" s="232">
        <v>10.1</v>
      </c>
      <c r="E269" s="233">
        <v>0.74</v>
      </c>
      <c r="I269" s="219">
        <v>10.1</v>
      </c>
    </row>
    <row r="270" spans="1:9">
      <c r="A270" s="229"/>
      <c r="B270" s="230"/>
      <c r="C270" s="231"/>
      <c r="D270" s="232" t="s">
        <v>366</v>
      </c>
      <c r="E270" s="233">
        <v>4.1100000000000003</v>
      </c>
      <c r="I270" s="219" t="s">
        <v>366</v>
      </c>
    </row>
    <row r="271" spans="1:9">
      <c r="A271" s="229"/>
      <c r="B271" s="230"/>
      <c r="C271" s="231"/>
      <c r="D271" s="232" t="s">
        <v>367</v>
      </c>
      <c r="E271" s="233">
        <v>13.11</v>
      </c>
      <c r="I271" s="219" t="s">
        <v>367</v>
      </c>
    </row>
    <row r="272" spans="1:9">
      <c r="A272" s="229"/>
      <c r="B272" s="230"/>
      <c r="C272" s="231"/>
      <c r="D272" s="232" t="s">
        <v>1045</v>
      </c>
      <c r="E272" s="233">
        <v>3.77</v>
      </c>
      <c r="I272" s="219" t="s">
        <v>1045</v>
      </c>
    </row>
    <row r="273" spans="1:9">
      <c r="A273" s="229"/>
      <c r="B273" s="230"/>
      <c r="C273" s="231"/>
      <c r="D273" s="234" t="s">
        <v>196</v>
      </c>
      <c r="E273" s="235">
        <v>16.88</v>
      </c>
      <c r="I273" s="219" t="s">
        <v>196</v>
      </c>
    </row>
    <row r="275" spans="1:9" ht="26.4">
      <c r="A275" s="214" t="s">
        <v>857</v>
      </c>
      <c r="B275" s="215" t="s">
        <v>316</v>
      </c>
      <c r="C275" s="216" t="s">
        <v>28</v>
      </c>
    </row>
    <row r="276" spans="1:9">
      <c r="A276" s="220"/>
      <c r="B276" s="221" t="s">
        <v>347</v>
      </c>
      <c r="C276" s="222" t="s">
        <v>348</v>
      </c>
      <c r="D276" s="223" t="s">
        <v>349</v>
      </c>
      <c r="E276" s="223" t="s">
        <v>350</v>
      </c>
      <c r="I276" s="219" t="s">
        <v>349</v>
      </c>
    </row>
    <row r="277" spans="1:9" ht="26.4">
      <c r="A277" s="224" t="s">
        <v>491</v>
      </c>
      <c r="B277" s="225" t="s">
        <v>492</v>
      </c>
      <c r="C277" s="226">
        <v>4.0000000000000001E-3</v>
      </c>
      <c r="D277" s="227">
        <v>4.4400000000000004</v>
      </c>
      <c r="E277" s="228">
        <v>0.01</v>
      </c>
      <c r="I277" s="219">
        <v>4.4400000000000004</v>
      </c>
    </row>
    <row r="278" spans="1:9" ht="26.4">
      <c r="A278" s="229" t="s">
        <v>493</v>
      </c>
      <c r="B278" s="230" t="s">
        <v>494</v>
      </c>
      <c r="C278" s="231">
        <v>0.19600000000000001</v>
      </c>
      <c r="D278" s="232">
        <v>5.56</v>
      </c>
      <c r="E278" s="233">
        <v>1.08</v>
      </c>
      <c r="I278" s="219">
        <v>5.56</v>
      </c>
    </row>
    <row r="279" spans="1:9" ht="26.4">
      <c r="A279" s="229" t="s">
        <v>495</v>
      </c>
      <c r="B279" s="230" t="s">
        <v>496</v>
      </c>
      <c r="C279" s="231">
        <v>0.39300000000000002</v>
      </c>
      <c r="D279" s="232">
        <v>8.5500000000000007</v>
      </c>
      <c r="E279" s="233">
        <v>3.36</v>
      </c>
      <c r="I279" s="219">
        <v>8.5500000000000007</v>
      </c>
    </row>
    <row r="280" spans="1:9" ht="26.4">
      <c r="A280" s="229" t="s">
        <v>497</v>
      </c>
      <c r="B280" s="230" t="s">
        <v>498</v>
      </c>
      <c r="C280" s="231">
        <v>0.78500000000000003</v>
      </c>
      <c r="D280" s="232">
        <v>2.14</v>
      </c>
      <c r="E280" s="233">
        <v>1.67</v>
      </c>
      <c r="I280" s="219">
        <v>2.14</v>
      </c>
    </row>
    <row r="281" spans="1:9">
      <c r="A281" s="229" t="s">
        <v>499</v>
      </c>
      <c r="B281" s="230" t="s">
        <v>500</v>
      </c>
      <c r="C281" s="231">
        <v>1.9E-2</v>
      </c>
      <c r="D281" s="232">
        <v>10.29</v>
      </c>
      <c r="E281" s="233">
        <v>0.19</v>
      </c>
      <c r="I281" s="219">
        <v>10.29</v>
      </c>
    </row>
    <row r="282" spans="1:9" ht="26.4">
      <c r="A282" s="229" t="s">
        <v>501</v>
      </c>
      <c r="B282" s="230" t="s">
        <v>502</v>
      </c>
      <c r="C282" s="231">
        <v>0.105</v>
      </c>
      <c r="D282" s="232">
        <v>70.47</v>
      </c>
      <c r="E282" s="233">
        <v>7.39</v>
      </c>
      <c r="I282" s="219">
        <v>70.47</v>
      </c>
    </row>
    <row r="283" spans="1:9">
      <c r="A283" s="229"/>
      <c r="B283" s="230"/>
      <c r="C283" s="231"/>
      <c r="D283" s="232" t="s">
        <v>361</v>
      </c>
      <c r="E283" s="233">
        <v>13.7</v>
      </c>
      <c r="I283" s="219" t="s">
        <v>361</v>
      </c>
    </row>
    <row r="284" spans="1:9">
      <c r="A284" s="229" t="s">
        <v>432</v>
      </c>
      <c r="B284" s="230" t="s">
        <v>433</v>
      </c>
      <c r="C284" s="231">
        <v>0.159</v>
      </c>
      <c r="D284" s="232">
        <v>10.44</v>
      </c>
      <c r="E284" s="233">
        <v>1.65</v>
      </c>
      <c r="I284" s="219">
        <v>10.44</v>
      </c>
    </row>
    <row r="285" spans="1:9">
      <c r="A285" s="229" t="s">
        <v>362</v>
      </c>
      <c r="B285" s="230" t="s">
        <v>363</v>
      </c>
      <c r="C285" s="231">
        <v>0.86799999999999999</v>
      </c>
      <c r="D285" s="232">
        <v>12.32</v>
      </c>
      <c r="E285" s="233">
        <v>10.69</v>
      </c>
      <c r="I285" s="219">
        <v>12.32</v>
      </c>
    </row>
    <row r="286" spans="1:9">
      <c r="A286" s="229"/>
      <c r="B286" s="230"/>
      <c r="C286" s="231"/>
      <c r="D286" s="232" t="s">
        <v>366</v>
      </c>
      <c r="E286" s="233">
        <v>12.34</v>
      </c>
      <c r="I286" s="219" t="s">
        <v>366</v>
      </c>
    </row>
    <row r="287" spans="1:9">
      <c r="A287" s="229"/>
      <c r="B287" s="230"/>
      <c r="C287" s="231"/>
      <c r="D287" s="232" t="s">
        <v>367</v>
      </c>
      <c r="E287" s="233">
        <v>26.04</v>
      </c>
      <c r="I287" s="219" t="s">
        <v>367</v>
      </c>
    </row>
    <row r="288" spans="1:9">
      <c r="A288" s="229"/>
      <c r="B288" s="230"/>
      <c r="C288" s="231"/>
      <c r="D288" s="232" t="s">
        <v>1045</v>
      </c>
      <c r="E288" s="233">
        <v>7.5</v>
      </c>
      <c r="I288" s="219" t="s">
        <v>1045</v>
      </c>
    </row>
    <row r="289" spans="1:9">
      <c r="A289" s="229"/>
      <c r="B289" s="230"/>
      <c r="C289" s="231"/>
      <c r="D289" s="234" t="s">
        <v>196</v>
      </c>
      <c r="E289" s="235">
        <v>33.54</v>
      </c>
      <c r="I289" s="219" t="s">
        <v>196</v>
      </c>
    </row>
    <row r="291" spans="1:9" ht="26.4">
      <c r="A291" s="214" t="s">
        <v>858</v>
      </c>
      <c r="B291" s="215" t="s">
        <v>284</v>
      </c>
      <c r="C291" s="216" t="s">
        <v>26</v>
      </c>
    </row>
    <row r="292" spans="1:9">
      <c r="A292" s="220"/>
      <c r="B292" s="221" t="s">
        <v>347</v>
      </c>
      <c r="C292" s="222" t="s">
        <v>348</v>
      </c>
      <c r="D292" s="223" t="s">
        <v>349</v>
      </c>
      <c r="E292" s="223" t="s">
        <v>350</v>
      </c>
      <c r="I292" s="219" t="s">
        <v>349</v>
      </c>
    </row>
    <row r="293" spans="1:9" ht="39.6">
      <c r="A293" s="224" t="s">
        <v>503</v>
      </c>
      <c r="B293" s="225" t="s">
        <v>504</v>
      </c>
      <c r="C293" s="226">
        <v>1.103</v>
      </c>
      <c r="D293" s="227">
        <v>226.4</v>
      </c>
      <c r="E293" s="228">
        <v>249.71</v>
      </c>
      <c r="I293" s="219">
        <v>226.4</v>
      </c>
    </row>
    <row r="294" spans="1:9" ht="26.4">
      <c r="A294" s="229" t="s">
        <v>471</v>
      </c>
      <c r="B294" s="230" t="s">
        <v>472</v>
      </c>
      <c r="C294" s="231">
        <v>6.8000000000000005E-2</v>
      </c>
      <c r="D294" s="232">
        <v>1.03</v>
      </c>
      <c r="E294" s="233">
        <v>7.0000000000000007E-2</v>
      </c>
      <c r="I294" s="219">
        <v>1.03</v>
      </c>
    </row>
    <row r="295" spans="1:9" ht="26.4">
      <c r="A295" s="229" t="s">
        <v>473</v>
      </c>
      <c r="B295" s="230" t="s">
        <v>474</v>
      </c>
      <c r="C295" s="231">
        <v>0.13100000000000001</v>
      </c>
      <c r="D295" s="232">
        <v>0.21</v>
      </c>
      <c r="E295" s="233">
        <v>0.02</v>
      </c>
      <c r="I295" s="219">
        <v>0.21</v>
      </c>
    </row>
    <row r="296" spans="1:9">
      <c r="A296" s="229"/>
      <c r="B296" s="230"/>
      <c r="C296" s="231"/>
      <c r="D296" s="232" t="s">
        <v>361</v>
      </c>
      <c r="E296" s="233">
        <v>249.8</v>
      </c>
      <c r="I296" s="219" t="s">
        <v>361</v>
      </c>
    </row>
    <row r="297" spans="1:9">
      <c r="A297" s="229" t="s">
        <v>362</v>
      </c>
      <c r="B297" s="230" t="s">
        <v>363</v>
      </c>
      <c r="C297" s="231">
        <v>0.19900000000000001</v>
      </c>
      <c r="D297" s="232">
        <v>12.32</v>
      </c>
      <c r="E297" s="233">
        <v>2.4500000000000002</v>
      </c>
      <c r="I297" s="219">
        <v>12.32</v>
      </c>
    </row>
    <row r="298" spans="1:9">
      <c r="A298" s="229" t="s">
        <v>440</v>
      </c>
      <c r="B298" s="230" t="s">
        <v>441</v>
      </c>
      <c r="C298" s="231">
        <v>0.19900000000000001</v>
      </c>
      <c r="D298" s="232">
        <v>12.42</v>
      </c>
      <c r="E298" s="233">
        <v>2.4700000000000002</v>
      </c>
      <c r="I298" s="219">
        <v>12.42</v>
      </c>
    </row>
    <row r="299" spans="1:9">
      <c r="A299" s="229" t="s">
        <v>364</v>
      </c>
      <c r="B299" s="230" t="s">
        <v>365</v>
      </c>
      <c r="C299" s="231">
        <v>1.1919999999999999</v>
      </c>
      <c r="D299" s="232">
        <v>10.1</v>
      </c>
      <c r="E299" s="233">
        <v>12.03</v>
      </c>
      <c r="I299" s="219">
        <v>10.1</v>
      </c>
    </row>
    <row r="300" spans="1:9">
      <c r="A300" s="229"/>
      <c r="B300" s="230"/>
      <c r="C300" s="231"/>
      <c r="D300" s="232" t="s">
        <v>366</v>
      </c>
      <c r="E300" s="233">
        <v>16.95</v>
      </c>
      <c r="I300" s="219" t="s">
        <v>366</v>
      </c>
    </row>
    <row r="301" spans="1:9">
      <c r="A301" s="229"/>
      <c r="B301" s="230"/>
      <c r="C301" s="231"/>
      <c r="D301" s="232" t="s">
        <v>367</v>
      </c>
      <c r="E301" s="233">
        <v>266.75</v>
      </c>
      <c r="I301" s="219" t="s">
        <v>367</v>
      </c>
    </row>
    <row r="302" spans="1:9">
      <c r="A302" s="229"/>
      <c r="B302" s="230"/>
      <c r="C302" s="231"/>
      <c r="D302" s="232" t="s">
        <v>1045</v>
      </c>
      <c r="E302" s="233">
        <v>76.87</v>
      </c>
      <c r="I302" s="219" t="s">
        <v>1045</v>
      </c>
    </row>
    <row r="303" spans="1:9">
      <c r="A303" s="229"/>
      <c r="B303" s="230"/>
      <c r="C303" s="231"/>
      <c r="D303" s="234" t="s">
        <v>196</v>
      </c>
      <c r="E303" s="235">
        <v>343.62</v>
      </c>
      <c r="I303" s="219" t="s">
        <v>196</v>
      </c>
    </row>
    <row r="305" spans="1:9" ht="26.4">
      <c r="A305" s="214" t="s">
        <v>859</v>
      </c>
      <c r="B305" s="215" t="s">
        <v>285</v>
      </c>
      <c r="C305" s="216" t="s">
        <v>26</v>
      </c>
    </row>
    <row r="306" spans="1:9">
      <c r="A306" s="220"/>
      <c r="B306" s="221" t="s">
        <v>347</v>
      </c>
      <c r="C306" s="222" t="s">
        <v>348</v>
      </c>
      <c r="D306" s="223" t="s">
        <v>349</v>
      </c>
      <c r="E306" s="223" t="s">
        <v>350</v>
      </c>
      <c r="I306" s="219" t="s">
        <v>349</v>
      </c>
    </row>
    <row r="307" spans="1:9" ht="26.4">
      <c r="A307" s="224" t="s">
        <v>471</v>
      </c>
      <c r="B307" s="225" t="s">
        <v>472</v>
      </c>
      <c r="C307" s="226">
        <v>0.67200000000000004</v>
      </c>
      <c r="D307" s="227">
        <v>1.03</v>
      </c>
      <c r="E307" s="228">
        <v>0.69</v>
      </c>
      <c r="I307" s="219">
        <v>1.03</v>
      </c>
    </row>
    <row r="308" spans="1:9" ht="26.4">
      <c r="A308" s="229" t="s">
        <v>473</v>
      </c>
      <c r="B308" s="230" t="s">
        <v>474</v>
      </c>
      <c r="C308" s="231">
        <v>1.1739999999999999</v>
      </c>
      <c r="D308" s="232">
        <v>0.21</v>
      </c>
      <c r="E308" s="233">
        <v>0.24</v>
      </c>
      <c r="I308" s="219">
        <v>0.21</v>
      </c>
    </row>
    <row r="309" spans="1:9">
      <c r="A309" s="229"/>
      <c r="B309" s="230"/>
      <c r="C309" s="231"/>
      <c r="D309" s="232" t="s">
        <v>361</v>
      </c>
      <c r="E309" s="233">
        <v>0.92999999999999994</v>
      </c>
      <c r="I309" s="219" t="s">
        <v>361</v>
      </c>
    </row>
    <row r="310" spans="1:9">
      <c r="A310" s="229" t="s">
        <v>362</v>
      </c>
      <c r="B310" s="230" t="s">
        <v>363</v>
      </c>
      <c r="C310" s="231">
        <v>1.8460000000000001</v>
      </c>
      <c r="D310" s="232">
        <v>12.32</v>
      </c>
      <c r="E310" s="233">
        <v>22.74</v>
      </c>
      <c r="I310" s="219">
        <v>12.32</v>
      </c>
    </row>
    <row r="311" spans="1:9">
      <c r="A311" s="229" t="s">
        <v>440</v>
      </c>
      <c r="B311" s="230" t="s">
        <v>441</v>
      </c>
      <c r="C311" s="231">
        <v>1.8460000000000001</v>
      </c>
      <c r="D311" s="232">
        <v>12.42</v>
      </c>
      <c r="E311" s="233">
        <v>22.92</v>
      </c>
      <c r="I311" s="219">
        <v>12.42</v>
      </c>
    </row>
    <row r="312" spans="1:9">
      <c r="A312" s="229" t="s">
        <v>364</v>
      </c>
      <c r="B312" s="230" t="s">
        <v>365</v>
      </c>
      <c r="C312" s="231">
        <v>5.5380000000000003</v>
      </c>
      <c r="D312" s="232">
        <v>10.1</v>
      </c>
      <c r="E312" s="233">
        <v>55.93</v>
      </c>
      <c r="I312" s="219">
        <v>10.1</v>
      </c>
    </row>
    <row r="313" spans="1:9">
      <c r="A313" s="229"/>
      <c r="B313" s="230"/>
      <c r="C313" s="231"/>
      <c r="D313" s="232" t="s">
        <v>366</v>
      </c>
      <c r="E313" s="233">
        <v>101.59</v>
      </c>
      <c r="I313" s="219" t="s">
        <v>366</v>
      </c>
    </row>
    <row r="314" spans="1:9">
      <c r="A314" s="229"/>
      <c r="B314" s="230"/>
      <c r="C314" s="231"/>
      <c r="D314" s="232" t="s">
        <v>367</v>
      </c>
      <c r="E314" s="233">
        <v>102.52000000000001</v>
      </c>
      <c r="I314" s="219" t="s">
        <v>367</v>
      </c>
    </row>
    <row r="315" spans="1:9">
      <c r="A315" s="229"/>
      <c r="B315" s="230"/>
      <c r="C315" s="231"/>
      <c r="D315" s="232" t="s">
        <v>1045</v>
      </c>
      <c r="E315" s="233">
        <v>29.54</v>
      </c>
      <c r="I315" s="219" t="s">
        <v>1045</v>
      </c>
    </row>
    <row r="316" spans="1:9">
      <c r="A316" s="229"/>
      <c r="B316" s="230"/>
      <c r="C316" s="231"/>
      <c r="D316" s="234" t="s">
        <v>196</v>
      </c>
      <c r="E316" s="235">
        <v>132.06</v>
      </c>
      <c r="I316" s="219" t="s">
        <v>196</v>
      </c>
    </row>
    <row r="318" spans="1:9" ht="26.4">
      <c r="A318" s="214" t="s">
        <v>860</v>
      </c>
      <c r="B318" s="215" t="s">
        <v>131</v>
      </c>
      <c r="C318" s="216" t="s">
        <v>26</v>
      </c>
    </row>
    <row r="319" spans="1:9">
      <c r="A319" s="220"/>
      <c r="B319" s="221" t="s">
        <v>347</v>
      </c>
      <c r="C319" s="222" t="s">
        <v>348</v>
      </c>
      <c r="D319" s="223" t="s">
        <v>349</v>
      </c>
      <c r="E319" s="223" t="s">
        <v>350</v>
      </c>
      <c r="I319" s="219" t="s">
        <v>349</v>
      </c>
    </row>
    <row r="320" spans="1:9" ht="26.4">
      <c r="A320" s="224" t="s">
        <v>489</v>
      </c>
      <c r="B320" s="225" t="s">
        <v>490</v>
      </c>
      <c r="C320" s="226">
        <v>5.6500000000000002E-2</v>
      </c>
      <c r="D320" s="227">
        <v>159.36000000000001</v>
      </c>
      <c r="E320" s="228">
        <v>9</v>
      </c>
      <c r="I320" s="219">
        <v>159.36000000000001</v>
      </c>
    </row>
    <row r="321" spans="1:9">
      <c r="A321" s="229"/>
      <c r="B321" s="230"/>
      <c r="C321" s="231"/>
      <c r="D321" s="232" t="s">
        <v>361</v>
      </c>
      <c r="E321" s="233">
        <v>9</v>
      </c>
      <c r="I321" s="219" t="s">
        <v>361</v>
      </c>
    </row>
    <row r="322" spans="1:9">
      <c r="A322" s="229" t="s">
        <v>440</v>
      </c>
      <c r="B322" s="230" t="s">
        <v>441</v>
      </c>
      <c r="C322" s="231">
        <v>0.27179999999999999</v>
      </c>
      <c r="D322" s="232">
        <v>12.42</v>
      </c>
      <c r="E322" s="233">
        <v>3.37</v>
      </c>
      <c r="I322" s="219">
        <v>12.42</v>
      </c>
    </row>
    <row r="323" spans="1:9">
      <c r="A323" s="229" t="s">
        <v>364</v>
      </c>
      <c r="B323" s="230" t="s">
        <v>365</v>
      </c>
      <c r="C323" s="231">
        <v>7.4099999999999999E-2</v>
      </c>
      <c r="D323" s="232">
        <v>10.1</v>
      </c>
      <c r="E323" s="233">
        <v>0.74</v>
      </c>
      <c r="I323" s="219">
        <v>10.1</v>
      </c>
    </row>
    <row r="324" spans="1:9">
      <c r="A324" s="229"/>
      <c r="B324" s="230"/>
      <c r="C324" s="231"/>
      <c r="D324" s="232" t="s">
        <v>366</v>
      </c>
      <c r="E324" s="233">
        <v>4.1100000000000003</v>
      </c>
      <c r="I324" s="219" t="s">
        <v>366</v>
      </c>
    </row>
    <row r="325" spans="1:9">
      <c r="A325" s="229"/>
      <c r="B325" s="230"/>
      <c r="C325" s="231"/>
      <c r="D325" s="232" t="s">
        <v>367</v>
      </c>
      <c r="E325" s="233">
        <v>13.11</v>
      </c>
      <c r="I325" s="219" t="s">
        <v>367</v>
      </c>
    </row>
    <row r="326" spans="1:9">
      <c r="A326" s="229"/>
      <c r="B326" s="230"/>
      <c r="C326" s="231"/>
      <c r="D326" s="232" t="s">
        <v>1045</v>
      </c>
      <c r="E326" s="233">
        <v>3.77</v>
      </c>
      <c r="I326" s="219" t="s">
        <v>1045</v>
      </c>
    </row>
    <row r="327" spans="1:9">
      <c r="A327" s="229"/>
      <c r="B327" s="230"/>
      <c r="C327" s="231"/>
      <c r="D327" s="234" t="s">
        <v>196</v>
      </c>
      <c r="E327" s="235">
        <v>16.88</v>
      </c>
      <c r="I327" s="219" t="s">
        <v>196</v>
      </c>
    </row>
    <row r="329" spans="1:9" ht="26.4">
      <c r="A329" s="214" t="s">
        <v>861</v>
      </c>
      <c r="B329" s="215" t="s">
        <v>316</v>
      </c>
      <c r="C329" s="216" t="s">
        <v>28</v>
      </c>
    </row>
    <row r="330" spans="1:9">
      <c r="A330" s="220"/>
      <c r="B330" s="221" t="s">
        <v>347</v>
      </c>
      <c r="C330" s="222" t="s">
        <v>348</v>
      </c>
      <c r="D330" s="223" t="s">
        <v>349</v>
      </c>
      <c r="E330" s="223" t="s">
        <v>350</v>
      </c>
      <c r="I330" s="219" t="s">
        <v>349</v>
      </c>
    </row>
    <row r="331" spans="1:9" ht="26.4">
      <c r="A331" s="224" t="s">
        <v>491</v>
      </c>
      <c r="B331" s="225" t="s">
        <v>492</v>
      </c>
      <c r="C331" s="226">
        <v>4.0000000000000001E-3</v>
      </c>
      <c r="D331" s="227">
        <v>4.4400000000000004</v>
      </c>
      <c r="E331" s="228">
        <v>0.01</v>
      </c>
      <c r="I331" s="219">
        <v>4.4400000000000004</v>
      </c>
    </row>
    <row r="332" spans="1:9" ht="26.4">
      <c r="A332" s="229" t="s">
        <v>493</v>
      </c>
      <c r="B332" s="230" t="s">
        <v>494</v>
      </c>
      <c r="C332" s="231">
        <v>0.19600000000000001</v>
      </c>
      <c r="D332" s="232">
        <v>5.56</v>
      </c>
      <c r="E332" s="233">
        <v>1.08</v>
      </c>
      <c r="I332" s="219">
        <v>5.56</v>
      </c>
    </row>
    <row r="333" spans="1:9" ht="26.4">
      <c r="A333" s="229" t="s">
        <v>495</v>
      </c>
      <c r="B333" s="230" t="s">
        <v>496</v>
      </c>
      <c r="C333" s="231">
        <v>0.39300000000000002</v>
      </c>
      <c r="D333" s="232">
        <v>8.5500000000000007</v>
      </c>
      <c r="E333" s="233">
        <v>3.36</v>
      </c>
      <c r="I333" s="219">
        <v>8.5500000000000007</v>
      </c>
    </row>
    <row r="334" spans="1:9" ht="26.4">
      <c r="A334" s="229" t="s">
        <v>497</v>
      </c>
      <c r="B334" s="230" t="s">
        <v>498</v>
      </c>
      <c r="C334" s="231">
        <v>0.78500000000000003</v>
      </c>
      <c r="D334" s="232">
        <v>2.14</v>
      </c>
      <c r="E334" s="233">
        <v>1.67</v>
      </c>
      <c r="I334" s="219">
        <v>2.14</v>
      </c>
    </row>
    <row r="335" spans="1:9">
      <c r="A335" s="229" t="s">
        <v>499</v>
      </c>
      <c r="B335" s="230" t="s">
        <v>500</v>
      </c>
      <c r="C335" s="231">
        <v>1.9E-2</v>
      </c>
      <c r="D335" s="232">
        <v>10.29</v>
      </c>
      <c r="E335" s="233">
        <v>0.19</v>
      </c>
      <c r="I335" s="219">
        <v>10.29</v>
      </c>
    </row>
    <row r="336" spans="1:9" ht="26.4">
      <c r="A336" s="229" t="s">
        <v>501</v>
      </c>
      <c r="B336" s="230" t="s">
        <v>502</v>
      </c>
      <c r="C336" s="231">
        <v>0.105</v>
      </c>
      <c r="D336" s="232">
        <v>70.47</v>
      </c>
      <c r="E336" s="233">
        <v>7.39</v>
      </c>
      <c r="I336" s="219">
        <v>70.47</v>
      </c>
    </row>
    <row r="337" spans="1:9">
      <c r="A337" s="229"/>
      <c r="B337" s="230"/>
      <c r="C337" s="231"/>
      <c r="D337" s="232" t="s">
        <v>361</v>
      </c>
      <c r="E337" s="233">
        <v>13.7</v>
      </c>
      <c r="I337" s="219" t="s">
        <v>361</v>
      </c>
    </row>
    <row r="338" spans="1:9">
      <c r="A338" s="229" t="s">
        <v>432</v>
      </c>
      <c r="B338" s="230" t="s">
        <v>433</v>
      </c>
      <c r="C338" s="231">
        <v>0.159</v>
      </c>
      <c r="D338" s="232">
        <v>10.44</v>
      </c>
      <c r="E338" s="233">
        <v>1.65</v>
      </c>
      <c r="I338" s="219">
        <v>10.44</v>
      </c>
    </row>
    <row r="339" spans="1:9">
      <c r="A339" s="229" t="s">
        <v>362</v>
      </c>
      <c r="B339" s="230" t="s">
        <v>363</v>
      </c>
      <c r="C339" s="231">
        <v>0.86799999999999999</v>
      </c>
      <c r="D339" s="232">
        <v>12.32</v>
      </c>
      <c r="E339" s="233">
        <v>10.69</v>
      </c>
      <c r="I339" s="219">
        <v>12.32</v>
      </c>
    </row>
    <row r="340" spans="1:9">
      <c r="A340" s="229"/>
      <c r="B340" s="230"/>
      <c r="C340" s="231"/>
      <c r="D340" s="232" t="s">
        <v>366</v>
      </c>
      <c r="E340" s="233">
        <v>12.34</v>
      </c>
      <c r="I340" s="219" t="s">
        <v>366</v>
      </c>
    </row>
    <row r="341" spans="1:9">
      <c r="A341" s="229"/>
      <c r="B341" s="230"/>
      <c r="C341" s="231"/>
      <c r="D341" s="232" t="s">
        <v>367</v>
      </c>
      <c r="E341" s="233">
        <v>26.04</v>
      </c>
      <c r="I341" s="219" t="s">
        <v>367</v>
      </c>
    </row>
    <row r="342" spans="1:9">
      <c r="A342" s="229"/>
      <c r="B342" s="230"/>
      <c r="C342" s="231"/>
      <c r="D342" s="232" t="s">
        <v>1045</v>
      </c>
      <c r="E342" s="233">
        <v>7.5</v>
      </c>
      <c r="I342" s="219" t="s">
        <v>1045</v>
      </c>
    </row>
    <row r="343" spans="1:9">
      <c r="A343" s="229"/>
      <c r="B343" s="230"/>
      <c r="C343" s="231"/>
      <c r="D343" s="234" t="s">
        <v>196</v>
      </c>
      <c r="E343" s="235">
        <v>33.54</v>
      </c>
      <c r="I343" s="219" t="s">
        <v>196</v>
      </c>
    </row>
    <row r="345" spans="1:9" ht="26.4">
      <c r="A345" s="214" t="s">
        <v>862</v>
      </c>
      <c r="B345" s="215" t="s">
        <v>190</v>
      </c>
      <c r="C345" s="216" t="s">
        <v>30</v>
      </c>
    </row>
    <row r="346" spans="1:9">
      <c r="A346" s="220"/>
      <c r="B346" s="221" t="s">
        <v>347</v>
      </c>
      <c r="C346" s="222" t="s">
        <v>348</v>
      </c>
      <c r="D346" s="223" t="s">
        <v>349</v>
      </c>
      <c r="E346" s="223" t="s">
        <v>350</v>
      </c>
      <c r="I346" s="219" t="s">
        <v>349</v>
      </c>
    </row>
    <row r="347" spans="1:9">
      <c r="A347" s="224" t="s">
        <v>475</v>
      </c>
      <c r="B347" s="225" t="s">
        <v>476</v>
      </c>
      <c r="C347" s="226">
        <v>2.5000000000000001E-2</v>
      </c>
      <c r="D347" s="227">
        <v>8.44</v>
      </c>
      <c r="E347" s="228">
        <v>0.21</v>
      </c>
      <c r="I347" s="219">
        <v>8.44</v>
      </c>
    </row>
    <row r="348" spans="1:9" ht="26.4">
      <c r="A348" s="229" t="s">
        <v>477</v>
      </c>
      <c r="B348" s="230" t="s">
        <v>478</v>
      </c>
      <c r="C348" s="231">
        <v>0.74299999999999999</v>
      </c>
      <c r="D348" s="232">
        <v>0.09</v>
      </c>
      <c r="E348" s="233">
        <v>0.06</v>
      </c>
      <c r="I348" s="219">
        <v>0.09</v>
      </c>
    </row>
    <row r="349" spans="1:9" ht="26.4">
      <c r="A349" s="229" t="s">
        <v>505</v>
      </c>
      <c r="B349" s="230" t="s">
        <v>506</v>
      </c>
      <c r="C349" s="231">
        <v>1</v>
      </c>
      <c r="D349" s="232">
        <v>5.41</v>
      </c>
      <c r="E349" s="233">
        <v>5.41</v>
      </c>
      <c r="I349" s="219">
        <v>5.41</v>
      </c>
    </row>
    <row r="350" spans="1:9">
      <c r="A350" s="229"/>
      <c r="B350" s="230"/>
      <c r="C350" s="231"/>
      <c r="D350" s="232" t="s">
        <v>361</v>
      </c>
      <c r="E350" s="233">
        <v>5.68</v>
      </c>
      <c r="I350" s="219" t="s">
        <v>361</v>
      </c>
    </row>
    <row r="351" spans="1:9">
      <c r="A351" s="229" t="s">
        <v>481</v>
      </c>
      <c r="B351" s="230" t="s">
        <v>482</v>
      </c>
      <c r="C351" s="231">
        <v>1.6199999999999999E-2</v>
      </c>
      <c r="D351" s="232">
        <v>9.66</v>
      </c>
      <c r="E351" s="233">
        <v>0.15</v>
      </c>
      <c r="I351" s="219">
        <v>9.66</v>
      </c>
    </row>
    <row r="352" spans="1:9">
      <c r="A352" s="229" t="s">
        <v>483</v>
      </c>
      <c r="B352" s="230" t="s">
        <v>484</v>
      </c>
      <c r="C352" s="231">
        <v>9.9299999999999999E-2</v>
      </c>
      <c r="D352" s="232">
        <v>12.35</v>
      </c>
      <c r="E352" s="233">
        <v>1.22</v>
      </c>
      <c r="I352" s="219">
        <v>12.35</v>
      </c>
    </row>
    <row r="353" spans="1:9">
      <c r="A353" s="229"/>
      <c r="B353" s="230"/>
      <c r="C353" s="231"/>
      <c r="D353" s="232" t="s">
        <v>366</v>
      </c>
      <c r="E353" s="233">
        <v>1.3699999999999999</v>
      </c>
      <c r="I353" s="219" t="s">
        <v>366</v>
      </c>
    </row>
    <row r="354" spans="1:9">
      <c r="A354" s="229"/>
      <c r="B354" s="230"/>
      <c r="C354" s="231"/>
      <c r="D354" s="232" t="s">
        <v>367</v>
      </c>
      <c r="E354" s="233">
        <v>7.05</v>
      </c>
      <c r="I354" s="219" t="s">
        <v>367</v>
      </c>
    </row>
    <row r="355" spans="1:9">
      <c r="A355" s="229"/>
      <c r="B355" s="230"/>
      <c r="C355" s="231"/>
      <c r="D355" s="232" t="s">
        <v>1045</v>
      </c>
      <c r="E355" s="233">
        <v>2.0299999999999998</v>
      </c>
      <c r="I355" s="219" t="s">
        <v>1045</v>
      </c>
    </row>
    <row r="356" spans="1:9">
      <c r="A356" s="229"/>
      <c r="B356" s="230"/>
      <c r="C356" s="231"/>
      <c r="D356" s="234" t="s">
        <v>196</v>
      </c>
      <c r="E356" s="235">
        <v>9.08</v>
      </c>
      <c r="I356" s="219" t="s">
        <v>196</v>
      </c>
    </row>
    <row r="358" spans="1:9" ht="26.4">
      <c r="A358" s="214" t="s">
        <v>863</v>
      </c>
      <c r="B358" s="215" t="s">
        <v>189</v>
      </c>
      <c r="C358" s="216" t="s">
        <v>30</v>
      </c>
    </row>
    <row r="359" spans="1:9">
      <c r="A359" s="220"/>
      <c r="B359" s="221" t="s">
        <v>347</v>
      </c>
      <c r="C359" s="222" t="s">
        <v>348</v>
      </c>
      <c r="D359" s="223" t="s">
        <v>349</v>
      </c>
      <c r="E359" s="223" t="s">
        <v>350</v>
      </c>
      <c r="I359" s="219" t="s">
        <v>349</v>
      </c>
    </row>
    <row r="360" spans="1:9">
      <c r="A360" s="224" t="s">
        <v>475</v>
      </c>
      <c r="B360" s="225" t="s">
        <v>476</v>
      </c>
      <c r="C360" s="226">
        <v>2.5000000000000001E-2</v>
      </c>
      <c r="D360" s="227">
        <v>8.44</v>
      </c>
      <c r="E360" s="228">
        <v>0.21</v>
      </c>
      <c r="I360" s="219">
        <v>8.44</v>
      </c>
    </row>
    <row r="361" spans="1:9" ht="26.4">
      <c r="A361" s="229" t="s">
        <v>477</v>
      </c>
      <c r="B361" s="230" t="s">
        <v>478</v>
      </c>
      <c r="C361" s="231">
        <v>1.19</v>
      </c>
      <c r="D361" s="232">
        <v>0.09</v>
      </c>
      <c r="E361" s="233">
        <v>0.1</v>
      </c>
      <c r="I361" s="219">
        <v>0.09</v>
      </c>
    </row>
    <row r="362" spans="1:9" ht="26.4">
      <c r="A362" s="229" t="s">
        <v>479</v>
      </c>
      <c r="B362" s="230" t="s">
        <v>480</v>
      </c>
      <c r="C362" s="231">
        <v>1</v>
      </c>
      <c r="D362" s="232">
        <v>5.21</v>
      </c>
      <c r="E362" s="233">
        <v>5.21</v>
      </c>
      <c r="I362" s="219">
        <v>5.21</v>
      </c>
    </row>
    <row r="363" spans="1:9">
      <c r="A363" s="229"/>
      <c r="B363" s="230"/>
      <c r="C363" s="231"/>
      <c r="D363" s="232" t="s">
        <v>361</v>
      </c>
      <c r="E363" s="233">
        <v>5.52</v>
      </c>
      <c r="I363" s="219" t="s">
        <v>361</v>
      </c>
    </row>
    <row r="364" spans="1:9">
      <c r="A364" s="229" t="s">
        <v>481</v>
      </c>
      <c r="B364" s="230" t="s">
        <v>482</v>
      </c>
      <c r="C364" s="231">
        <v>2.8500000000000001E-2</v>
      </c>
      <c r="D364" s="232">
        <v>9.66</v>
      </c>
      <c r="E364" s="233">
        <v>0.27</v>
      </c>
      <c r="I364" s="219">
        <v>9.66</v>
      </c>
    </row>
    <row r="365" spans="1:9">
      <c r="A365" s="229" t="s">
        <v>483</v>
      </c>
      <c r="B365" s="230" t="s">
        <v>484</v>
      </c>
      <c r="C365" s="231">
        <v>0.17430000000000001</v>
      </c>
      <c r="D365" s="232">
        <v>12.35</v>
      </c>
      <c r="E365" s="233">
        <v>2.15</v>
      </c>
      <c r="I365" s="219">
        <v>12.35</v>
      </c>
    </row>
    <row r="366" spans="1:9">
      <c r="A366" s="229"/>
      <c r="B366" s="230"/>
      <c r="C366" s="231"/>
      <c r="D366" s="232" t="s">
        <v>366</v>
      </c>
      <c r="E366" s="233">
        <v>2.42</v>
      </c>
      <c r="I366" s="219" t="s">
        <v>366</v>
      </c>
    </row>
    <row r="367" spans="1:9">
      <c r="A367" s="229"/>
      <c r="B367" s="230"/>
      <c r="C367" s="231"/>
      <c r="D367" s="232" t="s">
        <v>367</v>
      </c>
      <c r="E367" s="233">
        <v>7.9399999999999995</v>
      </c>
      <c r="I367" s="219" t="s">
        <v>367</v>
      </c>
    </row>
    <row r="368" spans="1:9">
      <c r="A368" s="229"/>
      <c r="B368" s="230"/>
      <c r="C368" s="231"/>
      <c r="D368" s="232" t="s">
        <v>1045</v>
      </c>
      <c r="E368" s="233">
        <v>2.2799999999999998</v>
      </c>
      <c r="I368" s="219" t="s">
        <v>1045</v>
      </c>
    </row>
    <row r="369" spans="1:9">
      <c r="A369" s="229"/>
      <c r="B369" s="230"/>
      <c r="C369" s="231"/>
      <c r="D369" s="234" t="s">
        <v>196</v>
      </c>
      <c r="E369" s="235">
        <v>10.219999999999999</v>
      </c>
      <c r="I369" s="219" t="s">
        <v>196</v>
      </c>
    </row>
    <row r="371" spans="1:9" ht="26.4">
      <c r="A371" s="214" t="s">
        <v>864</v>
      </c>
      <c r="B371" s="215" t="s">
        <v>281</v>
      </c>
      <c r="C371" s="216" t="s">
        <v>280</v>
      </c>
    </row>
    <row r="372" spans="1:9">
      <c r="A372" s="220"/>
      <c r="B372" s="221" t="s">
        <v>347</v>
      </c>
      <c r="C372" s="222" t="s">
        <v>348</v>
      </c>
      <c r="D372" s="223" t="s">
        <v>349</v>
      </c>
      <c r="E372" s="223" t="s">
        <v>350</v>
      </c>
      <c r="I372" s="219" t="s">
        <v>349</v>
      </c>
    </row>
    <row r="373" spans="1:9">
      <c r="A373" s="224" t="s">
        <v>475</v>
      </c>
      <c r="B373" s="225" t="s">
        <v>476</v>
      </c>
      <c r="C373" s="226">
        <v>2.5000000000000001E-2</v>
      </c>
      <c r="D373" s="227">
        <v>8.44</v>
      </c>
      <c r="E373" s="228">
        <v>0.21</v>
      </c>
      <c r="I373" s="219">
        <v>8.44</v>
      </c>
    </row>
    <row r="374" spans="1:9" ht="26.4">
      <c r="A374" s="229" t="s">
        <v>477</v>
      </c>
      <c r="B374" s="230" t="s">
        <v>478</v>
      </c>
      <c r="C374" s="231">
        <v>0.46550000000000002</v>
      </c>
      <c r="D374" s="232">
        <v>0.09</v>
      </c>
      <c r="E374" s="233">
        <v>0.04</v>
      </c>
      <c r="I374" s="219">
        <v>0.09</v>
      </c>
    </row>
    <row r="375" spans="1:9" ht="26.4">
      <c r="A375" s="229" t="s">
        <v>487</v>
      </c>
      <c r="B375" s="230" t="s">
        <v>488</v>
      </c>
      <c r="C375" s="231">
        <v>1</v>
      </c>
      <c r="D375" s="232">
        <v>4.5199999999999996</v>
      </c>
      <c r="E375" s="233">
        <v>4.5199999999999996</v>
      </c>
      <c r="I375" s="219">
        <v>4.5199999999999996</v>
      </c>
    </row>
    <row r="376" spans="1:9">
      <c r="A376" s="229"/>
      <c r="B376" s="230"/>
      <c r="C376" s="231"/>
      <c r="D376" s="232" t="s">
        <v>361</v>
      </c>
      <c r="E376" s="233">
        <v>4.7699999999999996</v>
      </c>
      <c r="I376" s="219" t="s">
        <v>361</v>
      </c>
    </row>
    <row r="377" spans="1:9">
      <c r="A377" s="229" t="s">
        <v>481</v>
      </c>
      <c r="B377" s="230" t="s">
        <v>482</v>
      </c>
      <c r="C377" s="231">
        <v>2.9000000000000001E-2</v>
      </c>
      <c r="D377" s="232">
        <v>9.66</v>
      </c>
      <c r="E377" s="233">
        <v>0.28000000000000003</v>
      </c>
      <c r="I377" s="219">
        <v>9.66</v>
      </c>
    </row>
    <row r="378" spans="1:9">
      <c r="A378" s="229" t="s">
        <v>483</v>
      </c>
      <c r="B378" s="230" t="s">
        <v>484</v>
      </c>
      <c r="C378" s="231">
        <v>8.8999999999999996E-2</v>
      </c>
      <c r="D378" s="232">
        <v>12.35</v>
      </c>
      <c r="E378" s="233">
        <v>1.0900000000000001</v>
      </c>
      <c r="I378" s="219">
        <v>12.35</v>
      </c>
    </row>
    <row r="379" spans="1:9">
      <c r="A379" s="229"/>
      <c r="B379" s="230"/>
      <c r="C379" s="231"/>
      <c r="D379" s="232" t="s">
        <v>366</v>
      </c>
      <c r="E379" s="233">
        <v>1.37</v>
      </c>
      <c r="I379" s="219" t="s">
        <v>366</v>
      </c>
    </row>
    <row r="380" spans="1:9">
      <c r="A380" s="229"/>
      <c r="B380" s="230"/>
      <c r="C380" s="231"/>
      <c r="D380" s="232" t="s">
        <v>367</v>
      </c>
      <c r="E380" s="233">
        <v>6.14</v>
      </c>
      <c r="I380" s="219" t="s">
        <v>367</v>
      </c>
    </row>
    <row r="381" spans="1:9">
      <c r="A381" s="229"/>
      <c r="B381" s="230"/>
      <c r="C381" s="231"/>
      <c r="D381" s="232" t="s">
        <v>1045</v>
      </c>
      <c r="E381" s="233">
        <v>1.76</v>
      </c>
      <c r="I381" s="219" t="s">
        <v>1045</v>
      </c>
    </row>
    <row r="382" spans="1:9">
      <c r="A382" s="229"/>
      <c r="B382" s="230"/>
      <c r="C382" s="231"/>
      <c r="D382" s="234" t="s">
        <v>196</v>
      </c>
      <c r="E382" s="235">
        <v>7.8999999999999995</v>
      </c>
      <c r="I382" s="219" t="s">
        <v>196</v>
      </c>
    </row>
    <row r="384" spans="1:9" ht="26.4">
      <c r="A384" s="214" t="s">
        <v>865</v>
      </c>
      <c r="B384" s="215" t="s">
        <v>336</v>
      </c>
      <c r="C384" s="216" t="s">
        <v>26</v>
      </c>
    </row>
    <row r="385" spans="1:9">
      <c r="A385" s="220"/>
      <c r="B385" s="221" t="s">
        <v>347</v>
      </c>
      <c r="C385" s="222" t="s">
        <v>348</v>
      </c>
      <c r="D385" s="223" t="s">
        <v>349</v>
      </c>
      <c r="E385" s="223" t="s">
        <v>350</v>
      </c>
      <c r="I385" s="219" t="s">
        <v>349</v>
      </c>
    </row>
    <row r="386" spans="1:9" ht="39.6">
      <c r="A386" s="224" t="s">
        <v>503</v>
      </c>
      <c r="B386" s="225" t="s">
        <v>504</v>
      </c>
      <c r="C386" s="226">
        <v>1.103</v>
      </c>
      <c r="D386" s="227">
        <v>226.4</v>
      </c>
      <c r="E386" s="228">
        <v>249.71</v>
      </c>
      <c r="I386" s="219">
        <v>226.4</v>
      </c>
    </row>
    <row r="387" spans="1:9" ht="26.4">
      <c r="A387" s="229" t="s">
        <v>471</v>
      </c>
      <c r="B387" s="230" t="s">
        <v>472</v>
      </c>
      <c r="C387" s="231">
        <v>6.8000000000000005E-2</v>
      </c>
      <c r="D387" s="232">
        <v>1.03</v>
      </c>
      <c r="E387" s="233">
        <v>7.0000000000000007E-2</v>
      </c>
      <c r="I387" s="219">
        <v>1.03</v>
      </c>
    </row>
    <row r="388" spans="1:9" ht="26.4">
      <c r="A388" s="229" t="s">
        <v>473</v>
      </c>
      <c r="B388" s="230" t="s">
        <v>474</v>
      </c>
      <c r="C388" s="231">
        <v>0.13100000000000001</v>
      </c>
      <c r="D388" s="232">
        <v>0.21</v>
      </c>
      <c r="E388" s="233">
        <v>0.02</v>
      </c>
      <c r="I388" s="219">
        <v>0.21</v>
      </c>
    </row>
    <row r="389" spans="1:9">
      <c r="A389" s="229"/>
      <c r="B389" s="230"/>
      <c r="C389" s="231"/>
      <c r="D389" s="232" t="s">
        <v>361</v>
      </c>
      <c r="E389" s="233">
        <v>249.8</v>
      </c>
      <c r="I389" s="219" t="s">
        <v>361</v>
      </c>
    </row>
    <row r="390" spans="1:9">
      <c r="A390" s="229" t="s">
        <v>362</v>
      </c>
      <c r="B390" s="230" t="s">
        <v>363</v>
      </c>
      <c r="C390" s="231">
        <v>0.19900000000000001</v>
      </c>
      <c r="D390" s="232">
        <v>12.32</v>
      </c>
      <c r="E390" s="233">
        <v>2.4500000000000002</v>
      </c>
      <c r="I390" s="219">
        <v>12.32</v>
      </c>
    </row>
    <row r="391" spans="1:9">
      <c r="A391" s="229" t="s">
        <v>440</v>
      </c>
      <c r="B391" s="230" t="s">
        <v>441</v>
      </c>
      <c r="C391" s="231">
        <v>0.19900000000000001</v>
      </c>
      <c r="D391" s="232">
        <v>12.42</v>
      </c>
      <c r="E391" s="233">
        <v>2.4700000000000002</v>
      </c>
      <c r="I391" s="219">
        <v>12.42</v>
      </c>
    </row>
    <row r="392" spans="1:9">
      <c r="A392" s="229" t="s">
        <v>364</v>
      </c>
      <c r="B392" s="230" t="s">
        <v>365</v>
      </c>
      <c r="C392" s="231">
        <v>1.1919999999999999</v>
      </c>
      <c r="D392" s="232">
        <v>10.1</v>
      </c>
      <c r="E392" s="233">
        <v>12.03</v>
      </c>
      <c r="I392" s="219">
        <v>10.1</v>
      </c>
    </row>
    <row r="393" spans="1:9">
      <c r="A393" s="229"/>
      <c r="B393" s="230"/>
      <c r="C393" s="231"/>
      <c r="D393" s="232" t="s">
        <v>366</v>
      </c>
      <c r="E393" s="233">
        <v>16.95</v>
      </c>
      <c r="I393" s="219" t="s">
        <v>366</v>
      </c>
    </row>
    <row r="394" spans="1:9">
      <c r="A394" s="229"/>
      <c r="B394" s="230"/>
      <c r="C394" s="231"/>
      <c r="D394" s="232" t="s">
        <v>367</v>
      </c>
      <c r="E394" s="233">
        <v>266.75</v>
      </c>
      <c r="I394" s="219" t="s">
        <v>367</v>
      </c>
    </row>
    <row r="395" spans="1:9">
      <c r="A395" s="229"/>
      <c r="B395" s="230"/>
      <c r="C395" s="231"/>
      <c r="D395" s="232" t="s">
        <v>1045</v>
      </c>
      <c r="E395" s="233">
        <v>76.87</v>
      </c>
      <c r="I395" s="219" t="s">
        <v>1045</v>
      </c>
    </row>
    <row r="396" spans="1:9">
      <c r="A396" s="229"/>
      <c r="B396" s="230"/>
      <c r="C396" s="231"/>
      <c r="D396" s="234" t="s">
        <v>196</v>
      </c>
      <c r="E396" s="235">
        <v>343.62</v>
      </c>
      <c r="I396" s="219" t="s">
        <v>196</v>
      </c>
    </row>
    <row r="398" spans="1:9" ht="26.4">
      <c r="A398" s="214" t="s">
        <v>866</v>
      </c>
      <c r="B398" s="215" t="s">
        <v>285</v>
      </c>
      <c r="C398" s="216" t="s">
        <v>26</v>
      </c>
    </row>
    <row r="399" spans="1:9">
      <c r="A399" s="220"/>
      <c r="B399" s="221" t="s">
        <v>347</v>
      </c>
      <c r="C399" s="222" t="s">
        <v>348</v>
      </c>
      <c r="D399" s="223" t="s">
        <v>349</v>
      </c>
      <c r="E399" s="223" t="s">
        <v>350</v>
      </c>
      <c r="I399" s="219" t="s">
        <v>349</v>
      </c>
    </row>
    <row r="400" spans="1:9" ht="26.4">
      <c r="A400" s="224" t="s">
        <v>471</v>
      </c>
      <c r="B400" s="225" t="s">
        <v>472</v>
      </c>
      <c r="C400" s="226">
        <v>0.67200000000000004</v>
      </c>
      <c r="D400" s="227">
        <v>1.03</v>
      </c>
      <c r="E400" s="228">
        <v>0.69</v>
      </c>
      <c r="I400" s="219">
        <v>1.03</v>
      </c>
    </row>
    <row r="401" spans="1:9" ht="26.4">
      <c r="A401" s="229" t="s">
        <v>473</v>
      </c>
      <c r="B401" s="230" t="s">
        <v>474</v>
      </c>
      <c r="C401" s="231">
        <v>1.1739999999999999</v>
      </c>
      <c r="D401" s="232">
        <v>0.21</v>
      </c>
      <c r="E401" s="233">
        <v>0.24</v>
      </c>
      <c r="I401" s="219">
        <v>0.21</v>
      </c>
    </row>
    <row r="402" spans="1:9">
      <c r="A402" s="229"/>
      <c r="B402" s="230"/>
      <c r="C402" s="231"/>
      <c r="D402" s="232" t="s">
        <v>361</v>
      </c>
      <c r="E402" s="233">
        <v>0.92999999999999994</v>
      </c>
      <c r="I402" s="219" t="s">
        <v>361</v>
      </c>
    </row>
    <row r="403" spans="1:9">
      <c r="A403" s="229" t="s">
        <v>362</v>
      </c>
      <c r="B403" s="230" t="s">
        <v>363</v>
      </c>
      <c r="C403" s="231">
        <v>1.8460000000000001</v>
      </c>
      <c r="D403" s="232">
        <v>12.32</v>
      </c>
      <c r="E403" s="233">
        <v>22.74</v>
      </c>
      <c r="I403" s="219">
        <v>12.32</v>
      </c>
    </row>
    <row r="404" spans="1:9">
      <c r="A404" s="229" t="s">
        <v>440</v>
      </c>
      <c r="B404" s="230" t="s">
        <v>441</v>
      </c>
      <c r="C404" s="231">
        <v>1.8460000000000001</v>
      </c>
      <c r="D404" s="232">
        <v>12.42</v>
      </c>
      <c r="E404" s="233">
        <v>22.92</v>
      </c>
      <c r="I404" s="219">
        <v>12.42</v>
      </c>
    </row>
    <row r="405" spans="1:9">
      <c r="A405" s="229" t="s">
        <v>364</v>
      </c>
      <c r="B405" s="230" t="s">
        <v>365</v>
      </c>
      <c r="C405" s="231">
        <v>5.5380000000000003</v>
      </c>
      <c r="D405" s="232">
        <v>10.1</v>
      </c>
      <c r="E405" s="233">
        <v>55.93</v>
      </c>
      <c r="I405" s="219">
        <v>10.1</v>
      </c>
    </row>
    <row r="406" spans="1:9">
      <c r="A406" s="229"/>
      <c r="B406" s="230"/>
      <c r="C406" s="231"/>
      <c r="D406" s="232" t="s">
        <v>366</v>
      </c>
      <c r="E406" s="233">
        <v>101.59</v>
      </c>
      <c r="I406" s="219" t="s">
        <v>366</v>
      </c>
    </row>
    <row r="407" spans="1:9">
      <c r="A407" s="229"/>
      <c r="B407" s="230"/>
      <c r="C407" s="231"/>
      <c r="D407" s="232" t="s">
        <v>367</v>
      </c>
      <c r="E407" s="233">
        <v>102.52000000000001</v>
      </c>
      <c r="I407" s="219" t="s">
        <v>367</v>
      </c>
    </row>
    <row r="408" spans="1:9">
      <c r="A408" s="229"/>
      <c r="B408" s="230"/>
      <c r="C408" s="231"/>
      <c r="D408" s="232" t="s">
        <v>1045</v>
      </c>
      <c r="E408" s="233">
        <v>29.54</v>
      </c>
      <c r="I408" s="219" t="s">
        <v>1045</v>
      </c>
    </row>
    <row r="409" spans="1:9">
      <c r="A409" s="229"/>
      <c r="B409" s="230"/>
      <c r="C409" s="231"/>
      <c r="D409" s="234" t="s">
        <v>196</v>
      </c>
      <c r="E409" s="235">
        <v>132.06</v>
      </c>
      <c r="I409" s="219" t="s">
        <v>196</v>
      </c>
    </row>
    <row r="411" spans="1:9" ht="26.4">
      <c r="A411" s="214" t="s">
        <v>867</v>
      </c>
      <c r="B411" s="215" t="s">
        <v>316</v>
      </c>
      <c r="C411" s="216" t="s">
        <v>28</v>
      </c>
    </row>
    <row r="412" spans="1:9">
      <c r="A412" s="220"/>
      <c r="B412" s="221" t="s">
        <v>347</v>
      </c>
      <c r="C412" s="222" t="s">
        <v>348</v>
      </c>
      <c r="D412" s="223" t="s">
        <v>349</v>
      </c>
      <c r="E412" s="223" t="s">
        <v>350</v>
      </c>
      <c r="I412" s="219" t="s">
        <v>349</v>
      </c>
    </row>
    <row r="413" spans="1:9" ht="26.4">
      <c r="A413" s="224" t="s">
        <v>491</v>
      </c>
      <c r="B413" s="225" t="s">
        <v>492</v>
      </c>
      <c r="C413" s="226">
        <v>4.0000000000000001E-3</v>
      </c>
      <c r="D413" s="227">
        <v>4.4400000000000004</v>
      </c>
      <c r="E413" s="228">
        <v>0.01</v>
      </c>
      <c r="I413" s="219">
        <v>4.4400000000000004</v>
      </c>
    </row>
    <row r="414" spans="1:9" ht="26.4">
      <c r="A414" s="229" t="s">
        <v>493</v>
      </c>
      <c r="B414" s="230" t="s">
        <v>494</v>
      </c>
      <c r="C414" s="231">
        <v>0.19600000000000001</v>
      </c>
      <c r="D414" s="232">
        <v>5.56</v>
      </c>
      <c r="E414" s="233">
        <v>1.08</v>
      </c>
      <c r="I414" s="219">
        <v>5.56</v>
      </c>
    </row>
    <row r="415" spans="1:9" ht="26.4">
      <c r="A415" s="229" t="s">
        <v>495</v>
      </c>
      <c r="B415" s="230" t="s">
        <v>496</v>
      </c>
      <c r="C415" s="231">
        <v>0.39300000000000002</v>
      </c>
      <c r="D415" s="232">
        <v>8.5500000000000007</v>
      </c>
      <c r="E415" s="233">
        <v>3.36</v>
      </c>
      <c r="I415" s="219">
        <v>8.5500000000000007</v>
      </c>
    </row>
    <row r="416" spans="1:9" ht="26.4">
      <c r="A416" s="229" t="s">
        <v>497</v>
      </c>
      <c r="B416" s="230" t="s">
        <v>498</v>
      </c>
      <c r="C416" s="231">
        <v>0.78500000000000003</v>
      </c>
      <c r="D416" s="232">
        <v>2.14</v>
      </c>
      <c r="E416" s="233">
        <v>1.67</v>
      </c>
      <c r="I416" s="219">
        <v>2.14</v>
      </c>
    </row>
    <row r="417" spans="1:9">
      <c r="A417" s="229" t="s">
        <v>499</v>
      </c>
      <c r="B417" s="230" t="s">
        <v>500</v>
      </c>
      <c r="C417" s="231">
        <v>1.9E-2</v>
      </c>
      <c r="D417" s="232">
        <v>10.29</v>
      </c>
      <c r="E417" s="233">
        <v>0.19</v>
      </c>
      <c r="I417" s="219">
        <v>10.29</v>
      </c>
    </row>
    <row r="418" spans="1:9" ht="26.4">
      <c r="A418" s="229" t="s">
        <v>501</v>
      </c>
      <c r="B418" s="230" t="s">
        <v>502</v>
      </c>
      <c r="C418" s="231">
        <v>0.105</v>
      </c>
      <c r="D418" s="232">
        <v>70.47</v>
      </c>
      <c r="E418" s="233">
        <v>7.39</v>
      </c>
      <c r="I418" s="219">
        <v>70.47</v>
      </c>
    </row>
    <row r="419" spans="1:9">
      <c r="A419" s="229"/>
      <c r="B419" s="230"/>
      <c r="C419" s="231"/>
      <c r="D419" s="232" t="s">
        <v>361</v>
      </c>
      <c r="E419" s="233">
        <v>13.7</v>
      </c>
      <c r="I419" s="219" t="s">
        <v>361</v>
      </c>
    </row>
    <row r="420" spans="1:9">
      <c r="A420" s="229" t="s">
        <v>432</v>
      </c>
      <c r="B420" s="230" t="s">
        <v>433</v>
      </c>
      <c r="C420" s="231">
        <v>0.159</v>
      </c>
      <c r="D420" s="232">
        <v>10.44</v>
      </c>
      <c r="E420" s="233">
        <v>1.65</v>
      </c>
      <c r="I420" s="219">
        <v>10.44</v>
      </c>
    </row>
    <row r="421" spans="1:9">
      <c r="A421" s="229" t="s">
        <v>362</v>
      </c>
      <c r="B421" s="230" t="s">
        <v>363</v>
      </c>
      <c r="C421" s="231">
        <v>0.86799999999999999</v>
      </c>
      <c r="D421" s="232">
        <v>12.32</v>
      </c>
      <c r="E421" s="233">
        <v>10.69</v>
      </c>
      <c r="I421" s="219">
        <v>12.32</v>
      </c>
    </row>
    <row r="422" spans="1:9">
      <c r="A422" s="229"/>
      <c r="B422" s="230"/>
      <c r="C422" s="231"/>
      <c r="D422" s="232" t="s">
        <v>366</v>
      </c>
      <c r="E422" s="233">
        <v>12.34</v>
      </c>
      <c r="I422" s="219" t="s">
        <v>366</v>
      </c>
    </row>
    <row r="423" spans="1:9">
      <c r="A423" s="229"/>
      <c r="B423" s="230"/>
      <c r="C423" s="231"/>
      <c r="D423" s="232" t="s">
        <v>367</v>
      </c>
      <c r="E423" s="233">
        <v>26.04</v>
      </c>
      <c r="I423" s="219" t="s">
        <v>367</v>
      </c>
    </row>
    <row r="424" spans="1:9">
      <c r="A424" s="229"/>
      <c r="B424" s="230"/>
      <c r="C424" s="231"/>
      <c r="D424" s="232" t="s">
        <v>1045</v>
      </c>
      <c r="E424" s="233">
        <v>7.5</v>
      </c>
      <c r="I424" s="219" t="s">
        <v>1045</v>
      </c>
    </row>
    <row r="425" spans="1:9">
      <c r="A425" s="229"/>
      <c r="B425" s="230"/>
      <c r="C425" s="231"/>
      <c r="D425" s="234" t="s">
        <v>196</v>
      </c>
      <c r="E425" s="235">
        <v>33.54</v>
      </c>
      <c r="I425" s="219" t="s">
        <v>196</v>
      </c>
    </row>
    <row r="427" spans="1:9" ht="26.4">
      <c r="A427" s="214" t="s">
        <v>868</v>
      </c>
      <c r="B427" s="215" t="s">
        <v>191</v>
      </c>
      <c r="C427" s="216" t="s">
        <v>30</v>
      </c>
    </row>
    <row r="428" spans="1:9">
      <c r="A428" s="220"/>
      <c r="B428" s="221" t="s">
        <v>347</v>
      </c>
      <c r="C428" s="222" t="s">
        <v>348</v>
      </c>
      <c r="D428" s="223" t="s">
        <v>349</v>
      </c>
      <c r="E428" s="223" t="s">
        <v>350</v>
      </c>
      <c r="I428" s="219" t="s">
        <v>349</v>
      </c>
    </row>
    <row r="429" spans="1:9">
      <c r="A429" s="224" t="s">
        <v>475</v>
      </c>
      <c r="B429" s="225" t="s">
        <v>476</v>
      </c>
      <c r="C429" s="226">
        <v>2.5000000000000001E-2</v>
      </c>
      <c r="D429" s="227">
        <v>8.44</v>
      </c>
      <c r="E429" s="228">
        <v>0.21</v>
      </c>
      <c r="I429" s="219">
        <v>8.44</v>
      </c>
    </row>
    <row r="430" spans="1:9" ht="26.4">
      <c r="A430" s="229" t="s">
        <v>477</v>
      </c>
      <c r="B430" s="230" t="s">
        <v>478</v>
      </c>
      <c r="C430" s="231">
        <v>0.54300000000000004</v>
      </c>
      <c r="D430" s="232">
        <v>0.09</v>
      </c>
      <c r="E430" s="233">
        <v>0.04</v>
      </c>
      <c r="I430" s="219">
        <v>0.09</v>
      </c>
    </row>
    <row r="431" spans="1:9" ht="26.4">
      <c r="A431" s="229" t="s">
        <v>487</v>
      </c>
      <c r="B431" s="230" t="s">
        <v>488</v>
      </c>
      <c r="C431" s="231">
        <v>1</v>
      </c>
      <c r="D431" s="232">
        <v>4.5199999999999996</v>
      </c>
      <c r="E431" s="233">
        <v>4.5199999999999996</v>
      </c>
      <c r="I431" s="219">
        <v>4.5199999999999996</v>
      </c>
    </row>
    <row r="432" spans="1:9">
      <c r="A432" s="229"/>
      <c r="B432" s="230"/>
      <c r="C432" s="231"/>
      <c r="D432" s="232" t="s">
        <v>361</v>
      </c>
      <c r="E432" s="233">
        <v>4.7699999999999996</v>
      </c>
      <c r="I432" s="219" t="s">
        <v>361</v>
      </c>
    </row>
    <row r="433" spans="1:9">
      <c r="A433" s="229" t="s">
        <v>481</v>
      </c>
      <c r="B433" s="230" t="s">
        <v>482</v>
      </c>
      <c r="C433" s="231">
        <v>1.21E-2</v>
      </c>
      <c r="D433" s="232">
        <v>9.66</v>
      </c>
      <c r="E433" s="233">
        <v>0.11</v>
      </c>
      <c r="I433" s="219">
        <v>9.66</v>
      </c>
    </row>
    <row r="434" spans="1:9">
      <c r="A434" s="229" t="s">
        <v>483</v>
      </c>
      <c r="B434" s="230" t="s">
        <v>484</v>
      </c>
      <c r="C434" s="231">
        <v>7.4300000000000005E-2</v>
      </c>
      <c r="D434" s="232">
        <v>12.35</v>
      </c>
      <c r="E434" s="233">
        <v>0.91</v>
      </c>
      <c r="I434" s="219">
        <v>12.35</v>
      </c>
    </row>
    <row r="435" spans="1:9">
      <c r="A435" s="229"/>
      <c r="B435" s="230"/>
      <c r="C435" s="231"/>
      <c r="D435" s="232" t="s">
        <v>366</v>
      </c>
      <c r="E435" s="233">
        <v>1.02</v>
      </c>
      <c r="I435" s="219" t="s">
        <v>366</v>
      </c>
    </row>
    <row r="436" spans="1:9">
      <c r="A436" s="229"/>
      <c r="B436" s="230"/>
      <c r="C436" s="231"/>
      <c r="D436" s="232" t="s">
        <v>367</v>
      </c>
      <c r="E436" s="233">
        <v>5.7899999999999991</v>
      </c>
      <c r="I436" s="219" t="s">
        <v>367</v>
      </c>
    </row>
    <row r="437" spans="1:9">
      <c r="A437" s="229"/>
      <c r="B437" s="230"/>
      <c r="C437" s="231"/>
      <c r="D437" s="232" t="s">
        <v>1045</v>
      </c>
      <c r="E437" s="233">
        <v>1.66</v>
      </c>
      <c r="I437" s="219" t="s">
        <v>1045</v>
      </c>
    </row>
    <row r="438" spans="1:9">
      <c r="A438" s="229"/>
      <c r="B438" s="230"/>
      <c r="C438" s="231"/>
      <c r="D438" s="234" t="s">
        <v>196</v>
      </c>
      <c r="E438" s="235">
        <v>7.4499999999999993</v>
      </c>
      <c r="I438" s="219" t="s">
        <v>196</v>
      </c>
    </row>
    <row r="440" spans="1:9" ht="26.4">
      <c r="A440" s="214" t="s">
        <v>869</v>
      </c>
      <c r="B440" s="215" t="s">
        <v>189</v>
      </c>
      <c r="C440" s="216" t="s">
        <v>30</v>
      </c>
    </row>
    <row r="441" spans="1:9">
      <c r="A441" s="220"/>
      <c r="B441" s="221" t="s">
        <v>347</v>
      </c>
      <c r="C441" s="222" t="s">
        <v>348</v>
      </c>
      <c r="D441" s="223" t="s">
        <v>349</v>
      </c>
      <c r="E441" s="223" t="s">
        <v>350</v>
      </c>
      <c r="I441" s="219" t="s">
        <v>349</v>
      </c>
    </row>
    <row r="442" spans="1:9">
      <c r="A442" s="224" t="s">
        <v>475</v>
      </c>
      <c r="B442" s="225" t="s">
        <v>476</v>
      </c>
      <c r="C442" s="226">
        <v>2.5000000000000001E-2</v>
      </c>
      <c r="D442" s="227">
        <v>8.44</v>
      </c>
      <c r="E442" s="228">
        <v>0.21</v>
      </c>
      <c r="I442" s="219">
        <v>8.44</v>
      </c>
    </row>
    <row r="443" spans="1:9" ht="26.4">
      <c r="A443" s="229" t="s">
        <v>477</v>
      </c>
      <c r="B443" s="230" t="s">
        <v>478</v>
      </c>
      <c r="C443" s="231">
        <v>1.19</v>
      </c>
      <c r="D443" s="232">
        <v>0.09</v>
      </c>
      <c r="E443" s="233">
        <v>0.1</v>
      </c>
      <c r="I443" s="219">
        <v>0.09</v>
      </c>
    </row>
    <row r="444" spans="1:9" ht="26.4">
      <c r="A444" s="229" t="s">
        <v>479</v>
      </c>
      <c r="B444" s="230" t="s">
        <v>480</v>
      </c>
      <c r="C444" s="231">
        <v>1</v>
      </c>
      <c r="D444" s="232">
        <v>5.21</v>
      </c>
      <c r="E444" s="233">
        <v>5.21</v>
      </c>
      <c r="I444" s="219">
        <v>5.21</v>
      </c>
    </row>
    <row r="445" spans="1:9">
      <c r="A445" s="229"/>
      <c r="B445" s="230"/>
      <c r="C445" s="231"/>
      <c r="D445" s="232" t="s">
        <v>361</v>
      </c>
      <c r="E445" s="233">
        <v>5.52</v>
      </c>
      <c r="I445" s="219" t="s">
        <v>361</v>
      </c>
    </row>
    <row r="446" spans="1:9">
      <c r="A446" s="229" t="s">
        <v>481</v>
      </c>
      <c r="B446" s="230" t="s">
        <v>482</v>
      </c>
      <c r="C446" s="231">
        <v>2.8500000000000001E-2</v>
      </c>
      <c r="D446" s="232">
        <v>9.66</v>
      </c>
      <c r="E446" s="233">
        <v>0.27</v>
      </c>
      <c r="I446" s="219">
        <v>9.66</v>
      </c>
    </row>
    <row r="447" spans="1:9">
      <c r="A447" s="229" t="s">
        <v>483</v>
      </c>
      <c r="B447" s="230" t="s">
        <v>484</v>
      </c>
      <c r="C447" s="231">
        <v>0.17430000000000001</v>
      </c>
      <c r="D447" s="232">
        <v>12.35</v>
      </c>
      <c r="E447" s="233">
        <v>2.15</v>
      </c>
      <c r="I447" s="219">
        <v>12.35</v>
      </c>
    </row>
    <row r="448" spans="1:9">
      <c r="A448" s="229"/>
      <c r="B448" s="230"/>
      <c r="C448" s="231"/>
      <c r="D448" s="232" t="s">
        <v>366</v>
      </c>
      <c r="E448" s="233">
        <v>2.42</v>
      </c>
      <c r="I448" s="219" t="s">
        <v>366</v>
      </c>
    </row>
    <row r="449" spans="1:9">
      <c r="A449" s="229"/>
      <c r="B449" s="230"/>
      <c r="C449" s="231"/>
      <c r="D449" s="232" t="s">
        <v>367</v>
      </c>
      <c r="E449" s="233">
        <v>7.9399999999999995</v>
      </c>
      <c r="I449" s="219" t="s">
        <v>367</v>
      </c>
    </row>
    <row r="450" spans="1:9">
      <c r="A450" s="229"/>
      <c r="B450" s="230"/>
      <c r="C450" s="231"/>
      <c r="D450" s="232" t="s">
        <v>1045</v>
      </c>
      <c r="E450" s="233">
        <v>2.2799999999999998</v>
      </c>
      <c r="I450" s="219" t="s">
        <v>1045</v>
      </c>
    </row>
    <row r="451" spans="1:9">
      <c r="A451" s="229"/>
      <c r="B451" s="230"/>
      <c r="C451" s="231"/>
      <c r="D451" s="234" t="s">
        <v>196</v>
      </c>
      <c r="E451" s="235">
        <v>10.219999999999999</v>
      </c>
      <c r="I451" s="219" t="s">
        <v>196</v>
      </c>
    </row>
    <row r="453" spans="1:9" ht="26.4">
      <c r="A453" s="214" t="s">
        <v>870</v>
      </c>
      <c r="B453" s="215" t="s">
        <v>284</v>
      </c>
      <c r="C453" s="216" t="s">
        <v>26</v>
      </c>
    </row>
    <row r="454" spans="1:9">
      <c r="A454" s="220"/>
      <c r="B454" s="221" t="s">
        <v>347</v>
      </c>
      <c r="C454" s="222" t="s">
        <v>348</v>
      </c>
      <c r="D454" s="223" t="s">
        <v>349</v>
      </c>
      <c r="E454" s="223" t="s">
        <v>350</v>
      </c>
      <c r="I454" s="219" t="s">
        <v>349</v>
      </c>
    </row>
    <row r="455" spans="1:9" ht="39.6">
      <c r="A455" s="224" t="s">
        <v>503</v>
      </c>
      <c r="B455" s="225" t="s">
        <v>504</v>
      </c>
      <c r="C455" s="226">
        <v>1.103</v>
      </c>
      <c r="D455" s="227">
        <v>226.4</v>
      </c>
      <c r="E455" s="228">
        <v>249.71</v>
      </c>
      <c r="I455" s="219">
        <v>226.4</v>
      </c>
    </row>
    <row r="456" spans="1:9" ht="26.4">
      <c r="A456" s="229" t="s">
        <v>471</v>
      </c>
      <c r="B456" s="230" t="s">
        <v>472</v>
      </c>
      <c r="C456" s="231">
        <v>6.8000000000000005E-2</v>
      </c>
      <c r="D456" s="232">
        <v>1.03</v>
      </c>
      <c r="E456" s="233">
        <v>7.0000000000000007E-2</v>
      </c>
      <c r="I456" s="219">
        <v>1.03</v>
      </c>
    </row>
    <row r="457" spans="1:9" ht="26.4">
      <c r="A457" s="229" t="s">
        <v>473</v>
      </c>
      <c r="B457" s="230" t="s">
        <v>474</v>
      </c>
      <c r="C457" s="231">
        <v>0.13100000000000001</v>
      </c>
      <c r="D457" s="232">
        <v>0.21</v>
      </c>
      <c r="E457" s="233">
        <v>0.02</v>
      </c>
      <c r="I457" s="219">
        <v>0.21</v>
      </c>
    </row>
    <row r="458" spans="1:9">
      <c r="A458" s="229"/>
      <c r="B458" s="230"/>
      <c r="C458" s="231"/>
      <c r="D458" s="232" t="s">
        <v>361</v>
      </c>
      <c r="E458" s="233">
        <v>249.8</v>
      </c>
      <c r="I458" s="219" t="s">
        <v>361</v>
      </c>
    </row>
    <row r="459" spans="1:9">
      <c r="A459" s="229" t="s">
        <v>362</v>
      </c>
      <c r="B459" s="230" t="s">
        <v>363</v>
      </c>
      <c r="C459" s="231">
        <v>0.19900000000000001</v>
      </c>
      <c r="D459" s="232">
        <v>12.32</v>
      </c>
      <c r="E459" s="233">
        <v>2.4500000000000002</v>
      </c>
      <c r="I459" s="219">
        <v>12.32</v>
      </c>
    </row>
    <row r="460" spans="1:9">
      <c r="A460" s="229" t="s">
        <v>440</v>
      </c>
      <c r="B460" s="230" t="s">
        <v>441</v>
      </c>
      <c r="C460" s="231">
        <v>0.19900000000000001</v>
      </c>
      <c r="D460" s="232">
        <v>12.42</v>
      </c>
      <c r="E460" s="233">
        <v>2.4700000000000002</v>
      </c>
      <c r="I460" s="219">
        <v>12.42</v>
      </c>
    </row>
    <row r="461" spans="1:9">
      <c r="A461" s="229" t="s">
        <v>364</v>
      </c>
      <c r="B461" s="230" t="s">
        <v>365</v>
      </c>
      <c r="C461" s="231">
        <v>1.1919999999999999</v>
      </c>
      <c r="D461" s="232">
        <v>10.1</v>
      </c>
      <c r="E461" s="233">
        <v>12.03</v>
      </c>
      <c r="I461" s="219">
        <v>10.1</v>
      </c>
    </row>
    <row r="462" spans="1:9">
      <c r="A462" s="229"/>
      <c r="B462" s="230"/>
      <c r="C462" s="231"/>
      <c r="D462" s="232" t="s">
        <v>366</v>
      </c>
      <c r="E462" s="233">
        <v>16.95</v>
      </c>
      <c r="I462" s="219" t="s">
        <v>366</v>
      </c>
    </row>
    <row r="463" spans="1:9">
      <c r="A463" s="229"/>
      <c r="B463" s="230"/>
      <c r="C463" s="231"/>
      <c r="D463" s="232" t="s">
        <v>367</v>
      </c>
      <c r="E463" s="233">
        <v>266.75</v>
      </c>
      <c r="I463" s="219" t="s">
        <v>367</v>
      </c>
    </row>
    <row r="464" spans="1:9">
      <c r="A464" s="229"/>
      <c r="B464" s="230"/>
      <c r="C464" s="231"/>
      <c r="D464" s="232" t="s">
        <v>1045</v>
      </c>
      <c r="E464" s="233">
        <v>76.87</v>
      </c>
      <c r="I464" s="219" t="s">
        <v>1045</v>
      </c>
    </row>
    <row r="465" spans="1:9">
      <c r="A465" s="229"/>
      <c r="B465" s="230"/>
      <c r="C465" s="231"/>
      <c r="D465" s="234" t="s">
        <v>196</v>
      </c>
      <c r="E465" s="235">
        <v>343.62</v>
      </c>
      <c r="I465" s="219" t="s">
        <v>196</v>
      </c>
    </row>
    <row r="467" spans="1:9" ht="26.4">
      <c r="A467" s="214" t="s">
        <v>871</v>
      </c>
      <c r="B467" s="215" t="s">
        <v>285</v>
      </c>
      <c r="C467" s="216" t="s">
        <v>26</v>
      </c>
    </row>
    <row r="468" spans="1:9">
      <c r="A468" s="220"/>
      <c r="B468" s="221" t="s">
        <v>347</v>
      </c>
      <c r="C468" s="222" t="s">
        <v>348</v>
      </c>
      <c r="D468" s="223" t="s">
        <v>349</v>
      </c>
      <c r="E468" s="223" t="s">
        <v>350</v>
      </c>
      <c r="I468" s="219" t="s">
        <v>349</v>
      </c>
    </row>
    <row r="469" spans="1:9" ht="26.4">
      <c r="A469" s="224" t="s">
        <v>471</v>
      </c>
      <c r="B469" s="225" t="s">
        <v>472</v>
      </c>
      <c r="C469" s="226">
        <v>0.67200000000000004</v>
      </c>
      <c r="D469" s="227">
        <v>1.03</v>
      </c>
      <c r="E469" s="228">
        <v>0.69</v>
      </c>
      <c r="I469" s="219">
        <v>1.03</v>
      </c>
    </row>
    <row r="470" spans="1:9" ht="26.4">
      <c r="A470" s="229" t="s">
        <v>473</v>
      </c>
      <c r="B470" s="230" t="s">
        <v>474</v>
      </c>
      <c r="C470" s="231">
        <v>1.1739999999999999</v>
      </c>
      <c r="D470" s="232">
        <v>0.21</v>
      </c>
      <c r="E470" s="233">
        <v>0.24</v>
      </c>
      <c r="I470" s="219">
        <v>0.21</v>
      </c>
    </row>
    <row r="471" spans="1:9">
      <c r="A471" s="229"/>
      <c r="B471" s="230"/>
      <c r="C471" s="231"/>
      <c r="D471" s="232" t="s">
        <v>361</v>
      </c>
      <c r="E471" s="233">
        <v>0.92999999999999994</v>
      </c>
      <c r="I471" s="219" t="s">
        <v>361</v>
      </c>
    </row>
    <row r="472" spans="1:9">
      <c r="A472" s="229" t="s">
        <v>362</v>
      </c>
      <c r="B472" s="230" t="s">
        <v>363</v>
      </c>
      <c r="C472" s="231">
        <v>1.8460000000000001</v>
      </c>
      <c r="D472" s="232">
        <v>12.32</v>
      </c>
      <c r="E472" s="233">
        <v>22.74</v>
      </c>
      <c r="I472" s="219">
        <v>12.32</v>
      </c>
    </row>
    <row r="473" spans="1:9">
      <c r="A473" s="229" t="s">
        <v>440</v>
      </c>
      <c r="B473" s="230" t="s">
        <v>441</v>
      </c>
      <c r="C473" s="231">
        <v>1.8460000000000001</v>
      </c>
      <c r="D473" s="232">
        <v>12.42</v>
      </c>
      <c r="E473" s="233">
        <v>22.92</v>
      </c>
      <c r="I473" s="219">
        <v>12.42</v>
      </c>
    </row>
    <row r="474" spans="1:9">
      <c r="A474" s="229" t="s">
        <v>364</v>
      </c>
      <c r="B474" s="230" t="s">
        <v>365</v>
      </c>
      <c r="C474" s="231">
        <v>5.5380000000000003</v>
      </c>
      <c r="D474" s="232">
        <v>10.1</v>
      </c>
      <c r="E474" s="233">
        <v>55.93</v>
      </c>
      <c r="I474" s="219">
        <v>10.1</v>
      </c>
    </row>
    <row r="475" spans="1:9">
      <c r="A475" s="229"/>
      <c r="B475" s="230"/>
      <c r="C475" s="231"/>
      <c r="D475" s="232" t="s">
        <v>366</v>
      </c>
      <c r="E475" s="233">
        <v>101.59</v>
      </c>
      <c r="I475" s="219" t="s">
        <v>366</v>
      </c>
    </row>
    <row r="476" spans="1:9">
      <c r="A476" s="229"/>
      <c r="B476" s="230"/>
      <c r="C476" s="231"/>
      <c r="D476" s="232" t="s">
        <v>367</v>
      </c>
      <c r="E476" s="233">
        <v>102.52000000000001</v>
      </c>
      <c r="I476" s="219" t="s">
        <v>367</v>
      </c>
    </row>
    <row r="477" spans="1:9">
      <c r="A477" s="229"/>
      <c r="B477" s="230"/>
      <c r="C477" s="231"/>
      <c r="D477" s="232" t="s">
        <v>1045</v>
      </c>
      <c r="E477" s="233">
        <v>29.54</v>
      </c>
      <c r="I477" s="219" t="s">
        <v>1045</v>
      </c>
    </row>
    <row r="478" spans="1:9">
      <c r="A478" s="229"/>
      <c r="B478" s="230"/>
      <c r="C478" s="231"/>
      <c r="D478" s="234" t="s">
        <v>196</v>
      </c>
      <c r="E478" s="235">
        <v>132.06</v>
      </c>
      <c r="I478" s="219" t="s">
        <v>196</v>
      </c>
    </row>
    <row r="480" spans="1:9" ht="26.4">
      <c r="A480" s="214" t="s">
        <v>872</v>
      </c>
      <c r="B480" s="215" t="s">
        <v>316</v>
      </c>
      <c r="C480" s="216" t="s">
        <v>28</v>
      </c>
    </row>
    <row r="481" spans="1:9">
      <c r="A481" s="220"/>
      <c r="B481" s="221" t="s">
        <v>347</v>
      </c>
      <c r="C481" s="222" t="s">
        <v>348</v>
      </c>
      <c r="D481" s="223" t="s">
        <v>349</v>
      </c>
      <c r="E481" s="223" t="s">
        <v>350</v>
      </c>
      <c r="I481" s="219" t="s">
        <v>349</v>
      </c>
    </row>
    <row r="482" spans="1:9" ht="26.4">
      <c r="A482" s="224" t="s">
        <v>491</v>
      </c>
      <c r="B482" s="225" t="s">
        <v>492</v>
      </c>
      <c r="C482" s="226">
        <v>4.0000000000000001E-3</v>
      </c>
      <c r="D482" s="227">
        <v>4.4400000000000004</v>
      </c>
      <c r="E482" s="228">
        <v>0.01</v>
      </c>
      <c r="I482" s="219">
        <v>4.4400000000000004</v>
      </c>
    </row>
    <row r="483" spans="1:9" ht="26.4">
      <c r="A483" s="229" t="s">
        <v>493</v>
      </c>
      <c r="B483" s="230" t="s">
        <v>494</v>
      </c>
      <c r="C483" s="231">
        <v>0.19600000000000001</v>
      </c>
      <c r="D483" s="232">
        <v>5.56</v>
      </c>
      <c r="E483" s="233">
        <v>1.08</v>
      </c>
      <c r="I483" s="219">
        <v>5.56</v>
      </c>
    </row>
    <row r="484" spans="1:9" ht="26.4">
      <c r="A484" s="229" t="s">
        <v>495</v>
      </c>
      <c r="B484" s="230" t="s">
        <v>496</v>
      </c>
      <c r="C484" s="231">
        <v>0.39300000000000002</v>
      </c>
      <c r="D484" s="232">
        <v>8.5500000000000007</v>
      </c>
      <c r="E484" s="233">
        <v>3.36</v>
      </c>
      <c r="I484" s="219">
        <v>8.5500000000000007</v>
      </c>
    </row>
    <row r="485" spans="1:9" ht="26.4">
      <c r="A485" s="229" t="s">
        <v>497</v>
      </c>
      <c r="B485" s="230" t="s">
        <v>498</v>
      </c>
      <c r="C485" s="231">
        <v>0.78500000000000003</v>
      </c>
      <c r="D485" s="232">
        <v>2.14</v>
      </c>
      <c r="E485" s="233">
        <v>1.67</v>
      </c>
      <c r="I485" s="219">
        <v>2.14</v>
      </c>
    </row>
    <row r="486" spans="1:9">
      <c r="A486" s="229" t="s">
        <v>499</v>
      </c>
      <c r="B486" s="230" t="s">
        <v>500</v>
      </c>
      <c r="C486" s="231">
        <v>1.9E-2</v>
      </c>
      <c r="D486" s="232">
        <v>10.29</v>
      </c>
      <c r="E486" s="233">
        <v>0.19</v>
      </c>
      <c r="I486" s="219">
        <v>10.29</v>
      </c>
    </row>
    <row r="487" spans="1:9" ht="26.4">
      <c r="A487" s="229" t="s">
        <v>501</v>
      </c>
      <c r="B487" s="230" t="s">
        <v>502</v>
      </c>
      <c r="C487" s="231">
        <v>0.105</v>
      </c>
      <c r="D487" s="232">
        <v>70.47</v>
      </c>
      <c r="E487" s="233">
        <v>7.39</v>
      </c>
      <c r="I487" s="219">
        <v>70.47</v>
      </c>
    </row>
    <row r="488" spans="1:9">
      <c r="A488" s="229"/>
      <c r="B488" s="230"/>
      <c r="C488" s="231"/>
      <c r="D488" s="232" t="s">
        <v>361</v>
      </c>
      <c r="E488" s="233">
        <v>13.7</v>
      </c>
      <c r="I488" s="219" t="s">
        <v>361</v>
      </c>
    </row>
    <row r="489" spans="1:9">
      <c r="A489" s="229" t="s">
        <v>432</v>
      </c>
      <c r="B489" s="230" t="s">
        <v>433</v>
      </c>
      <c r="C489" s="231">
        <v>0.159</v>
      </c>
      <c r="D489" s="232">
        <v>10.44</v>
      </c>
      <c r="E489" s="233">
        <v>1.65</v>
      </c>
      <c r="I489" s="219">
        <v>10.44</v>
      </c>
    </row>
    <row r="490" spans="1:9">
      <c r="A490" s="229" t="s">
        <v>362</v>
      </c>
      <c r="B490" s="230" t="s">
        <v>363</v>
      </c>
      <c r="C490" s="231">
        <v>0.86799999999999999</v>
      </c>
      <c r="D490" s="232">
        <v>12.32</v>
      </c>
      <c r="E490" s="233">
        <v>10.69</v>
      </c>
      <c r="I490" s="219">
        <v>12.32</v>
      </c>
    </row>
    <row r="491" spans="1:9">
      <c r="A491" s="229"/>
      <c r="B491" s="230"/>
      <c r="C491" s="231"/>
      <c r="D491" s="232" t="s">
        <v>366</v>
      </c>
      <c r="E491" s="233">
        <v>12.34</v>
      </c>
      <c r="I491" s="219" t="s">
        <v>366</v>
      </c>
    </row>
    <row r="492" spans="1:9">
      <c r="A492" s="229"/>
      <c r="B492" s="230"/>
      <c r="C492" s="231"/>
      <c r="D492" s="232" t="s">
        <v>367</v>
      </c>
      <c r="E492" s="233">
        <v>26.04</v>
      </c>
      <c r="I492" s="219" t="s">
        <v>367</v>
      </c>
    </row>
    <row r="493" spans="1:9">
      <c r="A493" s="229"/>
      <c r="B493" s="230"/>
      <c r="C493" s="231"/>
      <c r="D493" s="232" t="s">
        <v>1045</v>
      </c>
      <c r="E493" s="233">
        <v>7.5</v>
      </c>
      <c r="I493" s="219" t="s">
        <v>1045</v>
      </c>
    </row>
    <row r="494" spans="1:9">
      <c r="A494" s="229"/>
      <c r="B494" s="230"/>
      <c r="C494" s="231"/>
      <c r="D494" s="234" t="s">
        <v>196</v>
      </c>
      <c r="E494" s="235">
        <v>33.54</v>
      </c>
      <c r="I494" s="219" t="s">
        <v>196</v>
      </c>
    </row>
    <row r="496" spans="1:9" ht="26.4">
      <c r="A496" s="214" t="s">
        <v>873</v>
      </c>
      <c r="B496" s="215" t="s">
        <v>192</v>
      </c>
      <c r="C496" s="216" t="s">
        <v>30</v>
      </c>
    </row>
    <row r="497" spans="1:9">
      <c r="A497" s="220"/>
      <c r="B497" s="221" t="s">
        <v>347</v>
      </c>
      <c r="C497" s="222" t="s">
        <v>348</v>
      </c>
      <c r="D497" s="223" t="s">
        <v>349</v>
      </c>
      <c r="E497" s="223" t="s">
        <v>350</v>
      </c>
      <c r="I497" s="219" t="s">
        <v>349</v>
      </c>
    </row>
    <row r="498" spans="1:9">
      <c r="A498" s="224" t="s">
        <v>475</v>
      </c>
      <c r="B498" s="225" t="s">
        <v>476</v>
      </c>
      <c r="C498" s="226">
        <v>2.5000000000000001E-2</v>
      </c>
      <c r="D498" s="227">
        <v>8.44</v>
      </c>
      <c r="E498" s="228">
        <v>0.21</v>
      </c>
      <c r="I498" s="219">
        <v>8.44</v>
      </c>
    </row>
    <row r="499" spans="1:9" ht="26.4">
      <c r="A499" s="229" t="s">
        <v>477</v>
      </c>
      <c r="B499" s="230" t="s">
        <v>478</v>
      </c>
      <c r="C499" s="231">
        <v>0.97</v>
      </c>
      <c r="D499" s="232">
        <v>0.09</v>
      </c>
      <c r="E499" s="233">
        <v>0.08</v>
      </c>
      <c r="I499" s="219">
        <v>0.09</v>
      </c>
    </row>
    <row r="500" spans="1:9" ht="26.4">
      <c r="A500" s="229" t="s">
        <v>485</v>
      </c>
      <c r="B500" s="230" t="s">
        <v>486</v>
      </c>
      <c r="C500" s="231">
        <v>1</v>
      </c>
      <c r="D500" s="232">
        <v>4.96</v>
      </c>
      <c r="E500" s="233">
        <v>4.96</v>
      </c>
      <c r="I500" s="219">
        <v>4.96</v>
      </c>
    </row>
    <row r="501" spans="1:9">
      <c r="A501" s="229"/>
      <c r="B501" s="230"/>
      <c r="C501" s="231"/>
      <c r="D501" s="232" t="s">
        <v>361</v>
      </c>
      <c r="E501" s="233">
        <v>5.25</v>
      </c>
      <c r="I501" s="219" t="s">
        <v>361</v>
      </c>
    </row>
    <row r="502" spans="1:9">
      <c r="A502" s="229" t="s">
        <v>481</v>
      </c>
      <c r="B502" s="230" t="s">
        <v>482</v>
      </c>
      <c r="C502" s="231">
        <v>2.18E-2</v>
      </c>
      <c r="D502" s="232">
        <v>9.66</v>
      </c>
      <c r="E502" s="233">
        <v>0.21</v>
      </c>
      <c r="I502" s="219">
        <v>9.66</v>
      </c>
    </row>
    <row r="503" spans="1:9">
      <c r="A503" s="229" t="s">
        <v>483</v>
      </c>
      <c r="B503" s="230" t="s">
        <v>484</v>
      </c>
      <c r="C503" s="231">
        <v>0.13300000000000001</v>
      </c>
      <c r="D503" s="232">
        <v>12.35</v>
      </c>
      <c r="E503" s="233">
        <v>1.64</v>
      </c>
      <c r="I503" s="219">
        <v>12.35</v>
      </c>
    </row>
    <row r="504" spans="1:9">
      <c r="A504" s="229"/>
      <c r="B504" s="230"/>
      <c r="C504" s="231"/>
      <c r="D504" s="232" t="s">
        <v>366</v>
      </c>
      <c r="E504" s="233">
        <v>1.8499999999999999</v>
      </c>
      <c r="I504" s="219" t="s">
        <v>366</v>
      </c>
    </row>
    <row r="505" spans="1:9">
      <c r="A505" s="229"/>
      <c r="B505" s="230"/>
      <c r="C505" s="231"/>
      <c r="D505" s="232" t="s">
        <v>367</v>
      </c>
      <c r="E505" s="233">
        <v>7.1</v>
      </c>
      <c r="I505" s="219" t="s">
        <v>367</v>
      </c>
    </row>
    <row r="506" spans="1:9">
      <c r="A506" s="229"/>
      <c r="B506" s="230"/>
      <c r="C506" s="231"/>
      <c r="D506" s="232" t="s">
        <v>1045</v>
      </c>
      <c r="E506" s="233">
        <v>2.04</v>
      </c>
      <c r="I506" s="219" t="s">
        <v>1045</v>
      </c>
    </row>
    <row r="507" spans="1:9">
      <c r="A507" s="229"/>
      <c r="B507" s="230"/>
      <c r="C507" s="231"/>
      <c r="D507" s="234" t="s">
        <v>196</v>
      </c>
      <c r="E507" s="235">
        <v>9.14</v>
      </c>
      <c r="I507" s="219" t="s">
        <v>196</v>
      </c>
    </row>
    <row r="509" spans="1:9" ht="26.4">
      <c r="A509" s="214" t="s">
        <v>874</v>
      </c>
      <c r="B509" s="215" t="s">
        <v>190</v>
      </c>
      <c r="C509" s="216" t="s">
        <v>30</v>
      </c>
    </row>
    <row r="510" spans="1:9">
      <c r="A510" s="220"/>
      <c r="B510" s="221" t="s">
        <v>347</v>
      </c>
      <c r="C510" s="222" t="s">
        <v>348</v>
      </c>
      <c r="D510" s="223" t="s">
        <v>349</v>
      </c>
      <c r="E510" s="223" t="s">
        <v>350</v>
      </c>
      <c r="I510" s="219" t="s">
        <v>349</v>
      </c>
    </row>
    <row r="511" spans="1:9">
      <c r="A511" s="224" t="s">
        <v>475</v>
      </c>
      <c r="B511" s="225" t="s">
        <v>476</v>
      </c>
      <c r="C511" s="226">
        <v>2.5000000000000001E-2</v>
      </c>
      <c r="D511" s="227">
        <v>8.44</v>
      </c>
      <c r="E511" s="228">
        <v>0.21</v>
      </c>
      <c r="I511" s="219">
        <v>8.44</v>
      </c>
    </row>
    <row r="512" spans="1:9" ht="26.4">
      <c r="A512" s="229" t="s">
        <v>477</v>
      </c>
      <c r="B512" s="230" t="s">
        <v>478</v>
      </c>
      <c r="C512" s="231">
        <v>0.74299999999999999</v>
      </c>
      <c r="D512" s="232">
        <v>0.09</v>
      </c>
      <c r="E512" s="233">
        <v>0.06</v>
      </c>
      <c r="I512" s="219">
        <v>0.09</v>
      </c>
    </row>
    <row r="513" spans="1:9" ht="26.4">
      <c r="A513" s="229" t="s">
        <v>505</v>
      </c>
      <c r="B513" s="230" t="s">
        <v>506</v>
      </c>
      <c r="C513" s="231">
        <v>1</v>
      </c>
      <c r="D513" s="232">
        <v>5.41</v>
      </c>
      <c r="E513" s="233">
        <v>5.41</v>
      </c>
      <c r="I513" s="219">
        <v>5.41</v>
      </c>
    </row>
    <row r="514" spans="1:9">
      <c r="A514" s="229"/>
      <c r="B514" s="230"/>
      <c r="C514" s="231"/>
      <c r="D514" s="232" t="s">
        <v>361</v>
      </c>
      <c r="E514" s="233">
        <v>5.68</v>
      </c>
      <c r="I514" s="219" t="s">
        <v>361</v>
      </c>
    </row>
    <row r="515" spans="1:9">
      <c r="A515" s="229" t="s">
        <v>481</v>
      </c>
      <c r="B515" s="230" t="s">
        <v>482</v>
      </c>
      <c r="C515" s="231">
        <v>1.6199999999999999E-2</v>
      </c>
      <c r="D515" s="232">
        <v>9.66</v>
      </c>
      <c r="E515" s="233">
        <v>0.15</v>
      </c>
      <c r="I515" s="219">
        <v>9.66</v>
      </c>
    </row>
    <row r="516" spans="1:9">
      <c r="A516" s="229" t="s">
        <v>483</v>
      </c>
      <c r="B516" s="230" t="s">
        <v>484</v>
      </c>
      <c r="C516" s="231">
        <v>9.9299999999999999E-2</v>
      </c>
      <c r="D516" s="232">
        <v>12.35</v>
      </c>
      <c r="E516" s="233">
        <v>1.22</v>
      </c>
      <c r="I516" s="219">
        <v>12.35</v>
      </c>
    </row>
    <row r="517" spans="1:9">
      <c r="A517" s="229"/>
      <c r="B517" s="230"/>
      <c r="C517" s="231"/>
      <c r="D517" s="232" t="s">
        <v>366</v>
      </c>
      <c r="E517" s="233">
        <v>1.3699999999999999</v>
      </c>
      <c r="I517" s="219" t="s">
        <v>366</v>
      </c>
    </row>
    <row r="518" spans="1:9">
      <c r="A518" s="229"/>
      <c r="B518" s="230"/>
      <c r="C518" s="231"/>
      <c r="D518" s="232" t="s">
        <v>367</v>
      </c>
      <c r="E518" s="233">
        <v>7.05</v>
      </c>
      <c r="I518" s="219" t="s">
        <v>367</v>
      </c>
    </row>
    <row r="519" spans="1:9">
      <c r="A519" s="229"/>
      <c r="B519" s="230"/>
      <c r="C519" s="231"/>
      <c r="D519" s="232" t="s">
        <v>1045</v>
      </c>
      <c r="E519" s="233">
        <v>2.0299999999999998</v>
      </c>
      <c r="I519" s="219" t="s">
        <v>1045</v>
      </c>
    </row>
    <row r="520" spans="1:9">
      <c r="A520" s="229"/>
      <c r="B520" s="230"/>
      <c r="C520" s="231"/>
      <c r="D520" s="234" t="s">
        <v>196</v>
      </c>
      <c r="E520" s="235">
        <v>9.08</v>
      </c>
      <c r="I520" s="219" t="s">
        <v>196</v>
      </c>
    </row>
    <row r="522" spans="1:9" ht="26.4">
      <c r="A522" s="214" t="s">
        <v>875</v>
      </c>
      <c r="B522" s="215" t="s">
        <v>189</v>
      </c>
      <c r="C522" s="216" t="s">
        <v>30</v>
      </c>
    </row>
    <row r="523" spans="1:9">
      <c r="A523" s="220"/>
      <c r="B523" s="221" t="s">
        <v>347</v>
      </c>
      <c r="C523" s="222" t="s">
        <v>348</v>
      </c>
      <c r="D523" s="223" t="s">
        <v>349</v>
      </c>
      <c r="E523" s="223" t="s">
        <v>350</v>
      </c>
      <c r="I523" s="219" t="s">
        <v>349</v>
      </c>
    </row>
    <row r="524" spans="1:9">
      <c r="A524" s="224" t="s">
        <v>475</v>
      </c>
      <c r="B524" s="225" t="s">
        <v>476</v>
      </c>
      <c r="C524" s="226">
        <v>2.5000000000000001E-2</v>
      </c>
      <c r="D524" s="227">
        <v>8.44</v>
      </c>
      <c r="E524" s="228">
        <v>0.21</v>
      </c>
      <c r="I524" s="219">
        <v>8.44</v>
      </c>
    </row>
    <row r="525" spans="1:9" ht="26.4">
      <c r="A525" s="229" t="s">
        <v>477</v>
      </c>
      <c r="B525" s="230" t="s">
        <v>478</v>
      </c>
      <c r="C525" s="231">
        <v>1.19</v>
      </c>
      <c r="D525" s="232">
        <v>0.09</v>
      </c>
      <c r="E525" s="233">
        <v>0.1</v>
      </c>
      <c r="I525" s="219">
        <v>0.09</v>
      </c>
    </row>
    <row r="526" spans="1:9" ht="26.4">
      <c r="A526" s="229" t="s">
        <v>479</v>
      </c>
      <c r="B526" s="230" t="s">
        <v>480</v>
      </c>
      <c r="C526" s="231">
        <v>1</v>
      </c>
      <c r="D526" s="232">
        <v>5.21</v>
      </c>
      <c r="E526" s="233">
        <v>5.21</v>
      </c>
      <c r="I526" s="219">
        <v>5.21</v>
      </c>
    </row>
    <row r="527" spans="1:9">
      <c r="A527" s="229"/>
      <c r="B527" s="230"/>
      <c r="C527" s="231"/>
      <c r="D527" s="232" t="s">
        <v>361</v>
      </c>
      <c r="E527" s="233">
        <v>5.52</v>
      </c>
      <c r="I527" s="219" t="s">
        <v>361</v>
      </c>
    </row>
    <row r="528" spans="1:9">
      <c r="A528" s="229" t="s">
        <v>481</v>
      </c>
      <c r="B528" s="230" t="s">
        <v>482</v>
      </c>
      <c r="C528" s="231">
        <v>2.8500000000000001E-2</v>
      </c>
      <c r="D528" s="232">
        <v>9.66</v>
      </c>
      <c r="E528" s="233">
        <v>0.27</v>
      </c>
      <c r="I528" s="219">
        <v>9.66</v>
      </c>
    </row>
    <row r="529" spans="1:9">
      <c r="A529" s="229" t="s">
        <v>483</v>
      </c>
      <c r="B529" s="230" t="s">
        <v>484</v>
      </c>
      <c r="C529" s="231">
        <v>0.17430000000000001</v>
      </c>
      <c r="D529" s="232">
        <v>12.35</v>
      </c>
      <c r="E529" s="233">
        <v>2.15</v>
      </c>
      <c r="I529" s="219">
        <v>12.35</v>
      </c>
    </row>
    <row r="530" spans="1:9">
      <c r="A530" s="229"/>
      <c r="B530" s="230"/>
      <c r="C530" s="231"/>
      <c r="D530" s="232" t="s">
        <v>366</v>
      </c>
      <c r="E530" s="233">
        <v>2.42</v>
      </c>
      <c r="I530" s="219" t="s">
        <v>366</v>
      </c>
    </row>
    <row r="531" spans="1:9">
      <c r="A531" s="229"/>
      <c r="B531" s="230"/>
      <c r="C531" s="231"/>
      <c r="D531" s="232" t="s">
        <v>367</v>
      </c>
      <c r="E531" s="233">
        <v>7.9399999999999995</v>
      </c>
      <c r="I531" s="219" t="s">
        <v>367</v>
      </c>
    </row>
    <row r="532" spans="1:9">
      <c r="A532" s="229"/>
      <c r="B532" s="230"/>
      <c r="C532" s="231"/>
      <c r="D532" s="232" t="s">
        <v>1045</v>
      </c>
      <c r="E532" s="233">
        <v>2.2799999999999998</v>
      </c>
      <c r="I532" s="219" t="s">
        <v>1045</v>
      </c>
    </row>
    <row r="533" spans="1:9">
      <c r="A533" s="229"/>
      <c r="B533" s="230"/>
      <c r="C533" s="231"/>
      <c r="D533" s="234" t="s">
        <v>196</v>
      </c>
      <c r="E533" s="235">
        <v>10.219999999999999</v>
      </c>
      <c r="I533" s="219" t="s">
        <v>196</v>
      </c>
    </row>
    <row r="535" spans="1:9" ht="26.4">
      <c r="A535" s="214" t="s">
        <v>876</v>
      </c>
      <c r="B535" s="215" t="s">
        <v>145</v>
      </c>
      <c r="C535" s="216" t="s">
        <v>26</v>
      </c>
    </row>
    <row r="536" spans="1:9">
      <c r="A536" s="220"/>
      <c r="B536" s="221" t="s">
        <v>347</v>
      </c>
      <c r="C536" s="222" t="s">
        <v>348</v>
      </c>
      <c r="D536" s="223" t="s">
        <v>349</v>
      </c>
      <c r="E536" s="223" t="s">
        <v>350</v>
      </c>
      <c r="I536" s="219" t="s">
        <v>349</v>
      </c>
    </row>
    <row r="537" spans="1:9" ht="39.6">
      <c r="A537" s="224" t="s">
        <v>503</v>
      </c>
      <c r="B537" s="225" t="s">
        <v>504</v>
      </c>
      <c r="C537" s="226">
        <v>1.103</v>
      </c>
      <c r="D537" s="227">
        <v>226.4</v>
      </c>
      <c r="E537" s="228">
        <v>249.71</v>
      </c>
      <c r="I537" s="219">
        <v>226.4</v>
      </c>
    </row>
    <row r="538" spans="1:9" ht="26.4">
      <c r="A538" s="229" t="s">
        <v>471</v>
      </c>
      <c r="B538" s="230" t="s">
        <v>472</v>
      </c>
      <c r="C538" s="231">
        <v>6.8000000000000005E-2</v>
      </c>
      <c r="D538" s="232">
        <v>1.03</v>
      </c>
      <c r="E538" s="233">
        <v>7.0000000000000007E-2</v>
      </c>
      <c r="I538" s="219">
        <v>1.03</v>
      </c>
    </row>
    <row r="539" spans="1:9" ht="26.4">
      <c r="A539" s="229" t="s">
        <v>473</v>
      </c>
      <c r="B539" s="230" t="s">
        <v>474</v>
      </c>
      <c r="C539" s="231">
        <v>0.13100000000000001</v>
      </c>
      <c r="D539" s="232">
        <v>0.21</v>
      </c>
      <c r="E539" s="233">
        <v>0.02</v>
      </c>
      <c r="I539" s="219">
        <v>0.21</v>
      </c>
    </row>
    <row r="540" spans="1:9">
      <c r="A540" s="229"/>
      <c r="B540" s="230"/>
      <c r="C540" s="231"/>
      <c r="D540" s="232" t="s">
        <v>361</v>
      </c>
      <c r="E540" s="233">
        <v>249.8</v>
      </c>
      <c r="I540" s="219" t="s">
        <v>361</v>
      </c>
    </row>
    <row r="541" spans="1:9">
      <c r="A541" s="229" t="s">
        <v>362</v>
      </c>
      <c r="B541" s="230" t="s">
        <v>363</v>
      </c>
      <c r="C541" s="231">
        <v>0.19900000000000001</v>
      </c>
      <c r="D541" s="232">
        <v>12.32</v>
      </c>
      <c r="E541" s="233">
        <v>2.4500000000000002</v>
      </c>
      <c r="I541" s="219">
        <v>12.32</v>
      </c>
    </row>
    <row r="542" spans="1:9">
      <c r="A542" s="229" t="s">
        <v>440</v>
      </c>
      <c r="B542" s="230" t="s">
        <v>441</v>
      </c>
      <c r="C542" s="231">
        <v>0.19900000000000001</v>
      </c>
      <c r="D542" s="232">
        <v>12.42</v>
      </c>
      <c r="E542" s="233">
        <v>2.4700000000000002</v>
      </c>
      <c r="I542" s="219">
        <v>12.42</v>
      </c>
    </row>
    <row r="543" spans="1:9">
      <c r="A543" s="229" t="s">
        <v>364</v>
      </c>
      <c r="B543" s="230" t="s">
        <v>365</v>
      </c>
      <c r="C543" s="231">
        <v>1.1919999999999999</v>
      </c>
      <c r="D543" s="232">
        <v>10.1</v>
      </c>
      <c r="E543" s="233">
        <v>12.03</v>
      </c>
      <c r="I543" s="219">
        <v>10.1</v>
      </c>
    </row>
    <row r="544" spans="1:9">
      <c r="A544" s="229"/>
      <c r="B544" s="230"/>
      <c r="C544" s="231"/>
      <c r="D544" s="232" t="s">
        <v>366</v>
      </c>
      <c r="E544" s="233">
        <v>16.95</v>
      </c>
      <c r="I544" s="219" t="s">
        <v>366</v>
      </c>
    </row>
    <row r="545" spans="1:9">
      <c r="A545" s="229"/>
      <c r="B545" s="230"/>
      <c r="C545" s="231"/>
      <c r="D545" s="232" t="s">
        <v>367</v>
      </c>
      <c r="E545" s="233">
        <v>266.75</v>
      </c>
      <c r="I545" s="219" t="s">
        <v>367</v>
      </c>
    </row>
    <row r="546" spans="1:9">
      <c r="A546" s="229"/>
      <c r="B546" s="230"/>
      <c r="C546" s="231"/>
      <c r="D546" s="232" t="s">
        <v>1045</v>
      </c>
      <c r="E546" s="233">
        <v>76.87</v>
      </c>
      <c r="I546" s="219" t="s">
        <v>1045</v>
      </c>
    </row>
    <row r="547" spans="1:9">
      <c r="A547" s="229"/>
      <c r="B547" s="230"/>
      <c r="C547" s="231"/>
      <c r="D547" s="234" t="s">
        <v>196</v>
      </c>
      <c r="E547" s="235">
        <v>343.62</v>
      </c>
      <c r="I547" s="219" t="s">
        <v>196</v>
      </c>
    </row>
    <row r="549" spans="1:9" ht="26.4">
      <c r="A549" s="214" t="s">
        <v>877</v>
      </c>
      <c r="B549" s="215" t="s">
        <v>285</v>
      </c>
      <c r="C549" s="216" t="s">
        <v>26</v>
      </c>
    </row>
    <row r="550" spans="1:9">
      <c r="A550" s="220"/>
      <c r="B550" s="221" t="s">
        <v>347</v>
      </c>
      <c r="C550" s="222" t="s">
        <v>348</v>
      </c>
      <c r="D550" s="223" t="s">
        <v>349</v>
      </c>
      <c r="E550" s="223" t="s">
        <v>350</v>
      </c>
      <c r="I550" s="219" t="s">
        <v>349</v>
      </c>
    </row>
    <row r="551" spans="1:9" ht="26.4">
      <c r="A551" s="224" t="s">
        <v>471</v>
      </c>
      <c r="B551" s="225" t="s">
        <v>472</v>
      </c>
      <c r="C551" s="226">
        <v>0.67200000000000004</v>
      </c>
      <c r="D551" s="227">
        <v>1.03</v>
      </c>
      <c r="E551" s="228">
        <v>0.69</v>
      </c>
      <c r="I551" s="219">
        <v>1.03</v>
      </c>
    </row>
    <row r="552" spans="1:9" ht="26.4">
      <c r="A552" s="229" t="s">
        <v>473</v>
      </c>
      <c r="B552" s="230" t="s">
        <v>474</v>
      </c>
      <c r="C552" s="231">
        <v>1.1739999999999999</v>
      </c>
      <c r="D552" s="232">
        <v>0.21</v>
      </c>
      <c r="E552" s="233">
        <v>0.24</v>
      </c>
      <c r="I552" s="219">
        <v>0.21</v>
      </c>
    </row>
    <row r="553" spans="1:9">
      <c r="A553" s="229"/>
      <c r="B553" s="230"/>
      <c r="C553" s="231"/>
      <c r="D553" s="232" t="s">
        <v>361</v>
      </c>
      <c r="E553" s="233">
        <v>0.92999999999999994</v>
      </c>
      <c r="I553" s="219" t="s">
        <v>361</v>
      </c>
    </row>
    <row r="554" spans="1:9">
      <c r="A554" s="229" t="s">
        <v>362</v>
      </c>
      <c r="B554" s="230" t="s">
        <v>363</v>
      </c>
      <c r="C554" s="231">
        <v>1.8460000000000001</v>
      </c>
      <c r="D554" s="232">
        <v>12.32</v>
      </c>
      <c r="E554" s="233">
        <v>22.74</v>
      </c>
      <c r="I554" s="219">
        <v>12.32</v>
      </c>
    </row>
    <row r="555" spans="1:9">
      <c r="A555" s="229" t="s">
        <v>440</v>
      </c>
      <c r="B555" s="230" t="s">
        <v>441</v>
      </c>
      <c r="C555" s="231">
        <v>1.8460000000000001</v>
      </c>
      <c r="D555" s="232">
        <v>12.42</v>
      </c>
      <c r="E555" s="233">
        <v>22.92</v>
      </c>
      <c r="I555" s="219">
        <v>12.42</v>
      </c>
    </row>
    <row r="556" spans="1:9">
      <c r="A556" s="229" t="s">
        <v>364</v>
      </c>
      <c r="B556" s="230" t="s">
        <v>365</v>
      </c>
      <c r="C556" s="231">
        <v>5.5380000000000003</v>
      </c>
      <c r="D556" s="232">
        <v>10.1</v>
      </c>
      <c r="E556" s="233">
        <v>55.93</v>
      </c>
      <c r="I556" s="219">
        <v>10.1</v>
      </c>
    </row>
    <row r="557" spans="1:9">
      <c r="A557" s="229"/>
      <c r="B557" s="230"/>
      <c r="C557" s="231"/>
      <c r="D557" s="232" t="s">
        <v>366</v>
      </c>
      <c r="E557" s="233">
        <v>101.59</v>
      </c>
      <c r="I557" s="219" t="s">
        <v>366</v>
      </c>
    </row>
    <row r="558" spans="1:9">
      <c r="A558" s="229"/>
      <c r="B558" s="230"/>
      <c r="C558" s="231"/>
      <c r="D558" s="232" t="s">
        <v>367</v>
      </c>
      <c r="E558" s="233">
        <v>102.52000000000001</v>
      </c>
      <c r="I558" s="219" t="s">
        <v>367</v>
      </c>
    </row>
    <row r="559" spans="1:9">
      <c r="A559" s="229"/>
      <c r="B559" s="230"/>
      <c r="C559" s="231"/>
      <c r="D559" s="232" t="s">
        <v>1045</v>
      </c>
      <c r="E559" s="233">
        <v>29.54</v>
      </c>
      <c r="I559" s="219" t="s">
        <v>1045</v>
      </c>
    </row>
    <row r="560" spans="1:9">
      <c r="A560" s="229"/>
      <c r="B560" s="230"/>
      <c r="C560" s="231"/>
      <c r="D560" s="234" t="s">
        <v>196</v>
      </c>
      <c r="E560" s="235">
        <v>132.06</v>
      </c>
      <c r="I560" s="219" t="s">
        <v>196</v>
      </c>
    </row>
    <row r="562" spans="1:9" ht="26.4">
      <c r="A562" s="214" t="s">
        <v>878</v>
      </c>
      <c r="B562" s="215" t="s">
        <v>125</v>
      </c>
      <c r="C562" s="216" t="s">
        <v>28</v>
      </c>
    </row>
    <row r="563" spans="1:9">
      <c r="A563" s="220"/>
      <c r="B563" s="221" t="s">
        <v>347</v>
      </c>
      <c r="C563" s="222" t="s">
        <v>348</v>
      </c>
      <c r="D563" s="223" t="s">
        <v>349</v>
      </c>
      <c r="E563" s="223" t="s">
        <v>350</v>
      </c>
      <c r="I563" s="219" t="s">
        <v>349</v>
      </c>
    </row>
    <row r="564" spans="1:9">
      <c r="A564" s="224" t="s">
        <v>507</v>
      </c>
      <c r="B564" s="225" t="s">
        <v>508</v>
      </c>
      <c r="C564" s="226">
        <v>0.47099999999999997</v>
      </c>
      <c r="D564" s="227">
        <v>3.89</v>
      </c>
      <c r="E564" s="228">
        <v>1.83</v>
      </c>
      <c r="I564" s="219">
        <v>3.89</v>
      </c>
    </row>
    <row r="565" spans="1:9" ht="39.6">
      <c r="A565" s="229" t="s">
        <v>509</v>
      </c>
      <c r="B565" s="230" t="s">
        <v>510</v>
      </c>
      <c r="C565" s="231">
        <v>1</v>
      </c>
      <c r="D565" s="232">
        <v>21.6</v>
      </c>
      <c r="E565" s="233">
        <v>21.6</v>
      </c>
      <c r="I565" s="219">
        <v>21.6</v>
      </c>
    </row>
    <row r="566" spans="1:9" ht="26.4">
      <c r="A566" s="229" t="s">
        <v>353</v>
      </c>
      <c r="B566" s="230" t="s">
        <v>354</v>
      </c>
      <c r="C566" s="231">
        <v>0.28999999999999998</v>
      </c>
      <c r="D566" s="232">
        <v>2.2400000000000002</v>
      </c>
      <c r="E566" s="233">
        <v>0.64</v>
      </c>
      <c r="I566" s="219">
        <v>2.2400000000000002</v>
      </c>
    </row>
    <row r="567" spans="1:9">
      <c r="A567" s="229" t="s">
        <v>511</v>
      </c>
      <c r="B567" s="230" t="s">
        <v>512</v>
      </c>
      <c r="C567" s="231">
        <v>0.03</v>
      </c>
      <c r="D567" s="232">
        <v>8.19</v>
      </c>
      <c r="E567" s="233">
        <v>0.24</v>
      </c>
      <c r="I567" s="219">
        <v>8.19</v>
      </c>
    </row>
    <row r="568" spans="1:9" ht="26.4">
      <c r="A568" s="229" t="s">
        <v>513</v>
      </c>
      <c r="B568" s="230" t="s">
        <v>514</v>
      </c>
      <c r="C568" s="231">
        <v>0.17</v>
      </c>
      <c r="D568" s="232">
        <v>7.46</v>
      </c>
      <c r="E568" s="233">
        <v>1.26</v>
      </c>
      <c r="I568" s="219">
        <v>7.46</v>
      </c>
    </row>
    <row r="569" spans="1:9" ht="26.4">
      <c r="A569" s="229" t="s">
        <v>515</v>
      </c>
      <c r="B569" s="230" t="s">
        <v>516</v>
      </c>
      <c r="C569" s="231">
        <v>4.2999999999999997E-2</v>
      </c>
      <c r="D569" s="232">
        <v>17.04</v>
      </c>
      <c r="E569" s="233">
        <v>0.73</v>
      </c>
      <c r="I569" s="219">
        <v>17.04</v>
      </c>
    </row>
    <row r="570" spans="1:9" ht="26.4">
      <c r="A570" s="229" t="s">
        <v>467</v>
      </c>
      <c r="B570" s="230" t="s">
        <v>468</v>
      </c>
      <c r="C570" s="231">
        <v>4.2999999999999997E-2</v>
      </c>
      <c r="D570" s="232">
        <v>193.43</v>
      </c>
      <c r="E570" s="233">
        <v>8.31</v>
      </c>
      <c r="I570" s="219">
        <v>193.43</v>
      </c>
    </row>
    <row r="571" spans="1:9">
      <c r="A571" s="229"/>
      <c r="B571" s="230"/>
      <c r="C571" s="231"/>
      <c r="D571" s="232" t="s">
        <v>361</v>
      </c>
      <c r="E571" s="233">
        <v>34.61</v>
      </c>
      <c r="I571" s="219" t="s">
        <v>361</v>
      </c>
    </row>
    <row r="572" spans="1:9">
      <c r="A572" s="229" t="s">
        <v>432</v>
      </c>
      <c r="B572" s="230" t="s">
        <v>433</v>
      </c>
      <c r="C572" s="231">
        <v>0.16</v>
      </c>
      <c r="D572" s="232">
        <v>10.44</v>
      </c>
      <c r="E572" s="233">
        <v>1.67</v>
      </c>
      <c r="I572" s="219">
        <v>10.44</v>
      </c>
    </row>
    <row r="573" spans="1:9">
      <c r="A573" s="229" t="s">
        <v>362</v>
      </c>
      <c r="B573" s="230" t="s">
        <v>363</v>
      </c>
      <c r="C573" s="231">
        <v>0.16</v>
      </c>
      <c r="D573" s="232">
        <v>12.32</v>
      </c>
      <c r="E573" s="233">
        <v>1.97</v>
      </c>
      <c r="I573" s="219">
        <v>12.32</v>
      </c>
    </row>
    <row r="574" spans="1:9">
      <c r="A574" s="229" t="s">
        <v>440</v>
      </c>
      <c r="B574" s="230" t="s">
        <v>441</v>
      </c>
      <c r="C574" s="231">
        <v>0.4</v>
      </c>
      <c r="D574" s="232">
        <v>12.42</v>
      </c>
      <c r="E574" s="233">
        <v>4.96</v>
      </c>
      <c r="I574" s="219">
        <v>12.42</v>
      </c>
    </row>
    <row r="575" spans="1:9">
      <c r="A575" s="229" t="s">
        <v>364</v>
      </c>
      <c r="B575" s="230" t="s">
        <v>365</v>
      </c>
      <c r="C575" s="231">
        <v>0.44</v>
      </c>
      <c r="D575" s="232">
        <v>10.1</v>
      </c>
      <c r="E575" s="233">
        <v>4.4400000000000004</v>
      </c>
      <c r="I575" s="219">
        <v>10.1</v>
      </c>
    </row>
    <row r="576" spans="1:9">
      <c r="A576" s="229"/>
      <c r="B576" s="230"/>
      <c r="C576" s="231"/>
      <c r="D576" s="232" t="s">
        <v>366</v>
      </c>
      <c r="E576" s="233">
        <v>13.04</v>
      </c>
      <c r="I576" s="219" t="s">
        <v>366</v>
      </c>
    </row>
    <row r="577" spans="1:9">
      <c r="A577" s="229"/>
      <c r="B577" s="230"/>
      <c r="C577" s="231"/>
      <c r="D577" s="232" t="s">
        <v>367</v>
      </c>
      <c r="E577" s="233">
        <v>47.65</v>
      </c>
      <c r="I577" s="219" t="s">
        <v>367</v>
      </c>
    </row>
    <row r="578" spans="1:9">
      <c r="A578" s="229"/>
      <c r="B578" s="230"/>
      <c r="C578" s="231"/>
      <c r="D578" s="232" t="s">
        <v>1045</v>
      </c>
      <c r="E578" s="233">
        <v>13.73</v>
      </c>
      <c r="I578" s="219" t="s">
        <v>1045</v>
      </c>
    </row>
    <row r="579" spans="1:9">
      <c r="A579" s="229"/>
      <c r="B579" s="230"/>
      <c r="C579" s="231"/>
      <c r="D579" s="234" t="s">
        <v>196</v>
      </c>
      <c r="E579" s="235">
        <v>61.379999999999995</v>
      </c>
      <c r="I579" s="219" t="s">
        <v>196</v>
      </c>
    </row>
    <row r="581" spans="1:9" ht="26.4">
      <c r="A581" s="214" t="s">
        <v>879</v>
      </c>
      <c r="B581" s="215" t="s">
        <v>146</v>
      </c>
      <c r="C581" s="216" t="s">
        <v>32</v>
      </c>
    </row>
    <row r="582" spans="1:9">
      <c r="A582" s="220"/>
      <c r="B582" s="221" t="s">
        <v>347</v>
      </c>
      <c r="C582" s="222" t="s">
        <v>348</v>
      </c>
      <c r="D582" s="223" t="s">
        <v>349</v>
      </c>
      <c r="E582" s="223" t="s">
        <v>350</v>
      </c>
      <c r="I582" s="219" t="s">
        <v>349</v>
      </c>
    </row>
    <row r="583" spans="1:9" ht="26.4">
      <c r="A583" s="224" t="s">
        <v>491</v>
      </c>
      <c r="B583" s="225" t="s">
        <v>492</v>
      </c>
      <c r="C583" s="226">
        <v>7.0000000000000001E-3</v>
      </c>
      <c r="D583" s="227">
        <v>4.4400000000000004</v>
      </c>
      <c r="E583" s="228">
        <v>0.03</v>
      </c>
      <c r="I583" s="219">
        <v>4.4400000000000004</v>
      </c>
    </row>
    <row r="584" spans="1:9" ht="26.4">
      <c r="A584" s="229" t="s">
        <v>477</v>
      </c>
      <c r="B584" s="230" t="s">
        <v>478</v>
      </c>
      <c r="C584" s="231">
        <v>6</v>
      </c>
      <c r="D584" s="232">
        <v>0.09</v>
      </c>
      <c r="E584" s="233">
        <v>0.54</v>
      </c>
      <c r="I584" s="219">
        <v>0.09</v>
      </c>
    </row>
    <row r="585" spans="1:9" ht="39.6">
      <c r="A585" s="229" t="s">
        <v>517</v>
      </c>
      <c r="B585" s="230" t="s">
        <v>518</v>
      </c>
      <c r="C585" s="231">
        <v>1.9E-3</v>
      </c>
      <c r="D585" s="232">
        <v>233.29</v>
      </c>
      <c r="E585" s="233">
        <v>0.44</v>
      </c>
      <c r="I585" s="219">
        <v>233.29</v>
      </c>
    </row>
    <row r="586" spans="1:9" ht="26.4">
      <c r="A586" s="229" t="s">
        <v>519</v>
      </c>
      <c r="B586" s="230" t="s">
        <v>520</v>
      </c>
      <c r="C586" s="231">
        <v>0.217</v>
      </c>
      <c r="D586" s="232">
        <v>38.78</v>
      </c>
      <c r="E586" s="233">
        <v>8.41</v>
      </c>
      <c r="I586" s="219">
        <v>38.78</v>
      </c>
    </row>
    <row r="587" spans="1:9" ht="26.4">
      <c r="A587" s="229" t="s">
        <v>505</v>
      </c>
      <c r="B587" s="230" t="s">
        <v>506</v>
      </c>
      <c r="C587" s="231">
        <v>0.79</v>
      </c>
      <c r="D587" s="232">
        <v>5.41</v>
      </c>
      <c r="E587" s="233">
        <v>4.2699999999999996</v>
      </c>
      <c r="I587" s="219">
        <v>5.41</v>
      </c>
    </row>
    <row r="588" spans="1:9" ht="26.4">
      <c r="A588" s="229" t="s">
        <v>467</v>
      </c>
      <c r="B588" s="230" t="s">
        <v>468</v>
      </c>
      <c r="C588" s="231">
        <v>2.4E-2</v>
      </c>
      <c r="D588" s="232">
        <v>193.43</v>
      </c>
      <c r="E588" s="233">
        <v>4.6399999999999997</v>
      </c>
      <c r="I588" s="219">
        <v>193.43</v>
      </c>
    </row>
    <row r="589" spans="1:9">
      <c r="A589" s="229"/>
      <c r="B589" s="230"/>
      <c r="C589" s="231"/>
      <c r="D589" s="232" t="s">
        <v>361</v>
      </c>
      <c r="E589" s="233">
        <v>18.329999999999998</v>
      </c>
      <c r="I589" s="219" t="s">
        <v>361</v>
      </c>
    </row>
    <row r="590" spans="1:9">
      <c r="A590" s="229" t="s">
        <v>440</v>
      </c>
      <c r="B590" s="230" t="s">
        <v>441</v>
      </c>
      <c r="C590" s="231">
        <v>6.8000000000000005E-2</v>
      </c>
      <c r="D590" s="232">
        <v>12.42</v>
      </c>
      <c r="E590" s="233">
        <v>0.84</v>
      </c>
      <c r="I590" s="219">
        <v>12.42</v>
      </c>
    </row>
    <row r="591" spans="1:9">
      <c r="A591" s="229" t="s">
        <v>364</v>
      </c>
      <c r="B591" s="230" t="s">
        <v>365</v>
      </c>
      <c r="C591" s="231">
        <v>9.4E-2</v>
      </c>
      <c r="D591" s="232">
        <v>10.1</v>
      </c>
      <c r="E591" s="233">
        <v>0.94</v>
      </c>
      <c r="I591" s="219">
        <v>10.1</v>
      </c>
    </row>
    <row r="592" spans="1:9">
      <c r="A592" s="229"/>
      <c r="B592" s="230"/>
      <c r="C592" s="231"/>
      <c r="D592" s="232" t="s">
        <v>366</v>
      </c>
      <c r="E592" s="233">
        <v>1.7799999999999998</v>
      </c>
      <c r="I592" s="219" t="s">
        <v>366</v>
      </c>
    </row>
    <row r="593" spans="1:9">
      <c r="A593" s="229"/>
      <c r="B593" s="230"/>
      <c r="C593" s="231"/>
      <c r="D593" s="232" t="s">
        <v>367</v>
      </c>
      <c r="E593" s="233">
        <v>20.11</v>
      </c>
      <c r="I593" s="219" t="s">
        <v>367</v>
      </c>
    </row>
    <row r="594" spans="1:9">
      <c r="A594" s="229"/>
      <c r="B594" s="230"/>
      <c r="C594" s="231"/>
      <c r="D594" s="232" t="s">
        <v>1045</v>
      </c>
      <c r="E594" s="233">
        <v>5.79</v>
      </c>
      <c r="I594" s="219" t="s">
        <v>1045</v>
      </c>
    </row>
    <row r="595" spans="1:9">
      <c r="A595" s="229"/>
      <c r="B595" s="230"/>
      <c r="C595" s="231"/>
      <c r="D595" s="234" t="s">
        <v>196</v>
      </c>
      <c r="E595" s="235">
        <v>25.9</v>
      </c>
      <c r="I595" s="219" t="s">
        <v>196</v>
      </c>
    </row>
    <row r="597" spans="1:9" ht="26.4">
      <c r="A597" s="214" t="s">
        <v>880</v>
      </c>
      <c r="B597" s="215" t="s">
        <v>193</v>
      </c>
      <c r="C597" s="216" t="s">
        <v>28</v>
      </c>
    </row>
    <row r="598" spans="1:9">
      <c r="A598" s="220"/>
      <c r="B598" s="221" t="s">
        <v>347</v>
      </c>
      <c r="C598" s="222" t="s">
        <v>348</v>
      </c>
      <c r="D598" s="223" t="s">
        <v>349</v>
      </c>
      <c r="E598" s="223" t="s">
        <v>350</v>
      </c>
      <c r="I598" s="219" t="s">
        <v>349</v>
      </c>
    </row>
    <row r="599" spans="1:9" ht="26.4">
      <c r="A599" s="224" t="s">
        <v>521</v>
      </c>
      <c r="B599" s="225" t="s">
        <v>522</v>
      </c>
      <c r="C599" s="226">
        <v>0.42</v>
      </c>
      <c r="D599" s="227">
        <v>1</v>
      </c>
      <c r="E599" s="228">
        <v>0.42</v>
      </c>
      <c r="I599" s="219">
        <v>1</v>
      </c>
    </row>
    <row r="600" spans="1:9">
      <c r="A600" s="229" t="s">
        <v>523</v>
      </c>
      <c r="B600" s="230" t="s">
        <v>524</v>
      </c>
      <c r="C600" s="231">
        <v>5.0000000000000001E-3</v>
      </c>
      <c r="D600" s="232">
        <v>19.39</v>
      </c>
      <c r="E600" s="233">
        <v>0.09</v>
      </c>
      <c r="I600" s="219">
        <v>19.39</v>
      </c>
    </row>
    <row r="601" spans="1:9" ht="26.4">
      <c r="A601" s="229" t="s">
        <v>525</v>
      </c>
      <c r="B601" s="230" t="s">
        <v>526</v>
      </c>
      <c r="C601" s="231">
        <v>13.35</v>
      </c>
      <c r="D601" s="232">
        <v>1.04</v>
      </c>
      <c r="E601" s="233">
        <v>13.88</v>
      </c>
      <c r="I601" s="219">
        <v>1.04</v>
      </c>
    </row>
    <row r="602" spans="1:9" ht="39.6">
      <c r="A602" s="229" t="s">
        <v>527</v>
      </c>
      <c r="B602" s="230" t="s">
        <v>528</v>
      </c>
      <c r="C602" s="231">
        <v>1.04E-2</v>
      </c>
      <c r="D602" s="232">
        <v>246.71</v>
      </c>
      <c r="E602" s="233">
        <v>2.56</v>
      </c>
      <c r="I602" s="219">
        <v>246.71</v>
      </c>
    </row>
    <row r="603" spans="1:9">
      <c r="A603" s="229"/>
      <c r="B603" s="230"/>
      <c r="C603" s="231"/>
      <c r="D603" s="232" t="s">
        <v>361</v>
      </c>
      <c r="E603" s="233">
        <v>16.95</v>
      </c>
      <c r="I603" s="219" t="s">
        <v>361</v>
      </c>
    </row>
    <row r="604" spans="1:9">
      <c r="A604" s="229" t="s">
        <v>440</v>
      </c>
      <c r="B604" s="230" t="s">
        <v>441</v>
      </c>
      <c r="C604" s="231">
        <v>0.48</v>
      </c>
      <c r="D604" s="232">
        <v>12.42</v>
      </c>
      <c r="E604" s="233">
        <v>5.96</v>
      </c>
      <c r="I604" s="219">
        <v>12.42</v>
      </c>
    </row>
    <row r="605" spans="1:9">
      <c r="A605" s="229" t="s">
        <v>364</v>
      </c>
      <c r="B605" s="230" t="s">
        <v>365</v>
      </c>
      <c r="C605" s="231">
        <v>0.24</v>
      </c>
      <c r="D605" s="232">
        <v>10.1</v>
      </c>
      <c r="E605" s="233">
        <v>2.42</v>
      </c>
      <c r="I605" s="219">
        <v>10.1</v>
      </c>
    </row>
    <row r="606" spans="1:9">
      <c r="A606" s="229"/>
      <c r="B606" s="230"/>
      <c r="C606" s="231"/>
      <c r="D606" s="232" t="s">
        <v>366</v>
      </c>
      <c r="E606" s="233">
        <v>8.379999999999999</v>
      </c>
      <c r="I606" s="219" t="s">
        <v>366</v>
      </c>
    </row>
    <row r="607" spans="1:9">
      <c r="A607" s="229"/>
      <c r="B607" s="230"/>
      <c r="C607" s="231"/>
      <c r="D607" s="232" t="s">
        <v>367</v>
      </c>
      <c r="E607" s="233">
        <v>25.33</v>
      </c>
      <c r="I607" s="219" t="s">
        <v>367</v>
      </c>
    </row>
    <row r="608" spans="1:9">
      <c r="A608" s="229"/>
      <c r="B608" s="230"/>
      <c r="C608" s="231"/>
      <c r="D608" s="232" t="s">
        <v>1045</v>
      </c>
      <c r="E608" s="233">
        <v>7.3</v>
      </c>
      <c r="I608" s="219" t="s">
        <v>1045</v>
      </c>
    </row>
    <row r="609" spans="1:9">
      <c r="A609" s="229"/>
      <c r="B609" s="230"/>
      <c r="C609" s="231"/>
      <c r="D609" s="234" t="s">
        <v>196</v>
      </c>
      <c r="E609" s="235">
        <v>32.629999999999995</v>
      </c>
      <c r="I609" s="219" t="s">
        <v>196</v>
      </c>
    </row>
    <row r="611" spans="1:9" ht="39.6">
      <c r="A611" s="214" t="s">
        <v>881</v>
      </c>
      <c r="B611" s="215" t="s">
        <v>144</v>
      </c>
      <c r="C611" s="216" t="s">
        <v>32</v>
      </c>
    </row>
    <row r="612" spans="1:9">
      <c r="A612" s="220"/>
      <c r="B612" s="221" t="s">
        <v>347</v>
      </c>
      <c r="C612" s="222" t="s">
        <v>348</v>
      </c>
      <c r="D612" s="223" t="s">
        <v>349</v>
      </c>
      <c r="E612" s="223" t="s">
        <v>350</v>
      </c>
      <c r="I612" s="219" t="s">
        <v>349</v>
      </c>
    </row>
    <row r="613" spans="1:9">
      <c r="A613" s="224" t="s">
        <v>529</v>
      </c>
      <c r="B613" s="225" t="s">
        <v>530</v>
      </c>
      <c r="C613" s="226">
        <v>11.2</v>
      </c>
      <c r="D613" s="227">
        <v>0.27</v>
      </c>
      <c r="E613" s="228">
        <v>3.02</v>
      </c>
      <c r="I613" s="219">
        <v>0.27</v>
      </c>
    </row>
    <row r="614" spans="1:9" ht="39.6">
      <c r="A614" s="229" t="s">
        <v>517</v>
      </c>
      <c r="B614" s="230" t="s">
        <v>518</v>
      </c>
      <c r="C614" s="231">
        <v>5.1999999999999998E-3</v>
      </c>
      <c r="D614" s="232">
        <v>233.29</v>
      </c>
      <c r="E614" s="233">
        <v>1.21</v>
      </c>
      <c r="I614" s="219">
        <v>233.29</v>
      </c>
    </row>
    <row r="615" spans="1:9">
      <c r="A615" s="229"/>
      <c r="B615" s="230"/>
      <c r="C615" s="231"/>
      <c r="D615" s="232" t="s">
        <v>361</v>
      </c>
      <c r="E615" s="233">
        <v>4.2300000000000004</v>
      </c>
      <c r="I615" s="219" t="s">
        <v>361</v>
      </c>
    </row>
    <row r="616" spans="1:9">
      <c r="A616" s="229" t="s">
        <v>440</v>
      </c>
      <c r="B616" s="230" t="s">
        <v>441</v>
      </c>
      <c r="C616" s="231">
        <v>0.52900000000000003</v>
      </c>
      <c r="D616" s="232">
        <v>12.42</v>
      </c>
      <c r="E616" s="233">
        <v>6.57</v>
      </c>
      <c r="I616" s="219">
        <v>12.42</v>
      </c>
    </row>
    <row r="617" spans="1:9">
      <c r="A617" s="229" t="s">
        <v>364</v>
      </c>
      <c r="B617" s="230" t="s">
        <v>365</v>
      </c>
      <c r="C617" s="231">
        <v>0.106</v>
      </c>
      <c r="D617" s="232">
        <v>10.1</v>
      </c>
      <c r="E617" s="233">
        <v>1.07</v>
      </c>
      <c r="I617" s="219">
        <v>10.1</v>
      </c>
    </row>
    <row r="618" spans="1:9">
      <c r="A618" s="229"/>
      <c r="B618" s="230"/>
      <c r="C618" s="231"/>
      <c r="D618" s="232" t="s">
        <v>366</v>
      </c>
      <c r="E618" s="233">
        <v>7.6400000000000006</v>
      </c>
      <c r="I618" s="219" t="s">
        <v>366</v>
      </c>
    </row>
    <row r="619" spans="1:9">
      <c r="A619" s="229"/>
      <c r="B619" s="230"/>
      <c r="C619" s="231"/>
      <c r="D619" s="232" t="s">
        <v>367</v>
      </c>
      <c r="E619" s="233">
        <v>11.870000000000001</v>
      </c>
      <c r="I619" s="219" t="s">
        <v>367</v>
      </c>
    </row>
    <row r="620" spans="1:9">
      <c r="A620" s="229"/>
      <c r="B620" s="230"/>
      <c r="C620" s="231"/>
      <c r="D620" s="232" t="s">
        <v>1045</v>
      </c>
      <c r="E620" s="233">
        <v>3.42</v>
      </c>
      <c r="I620" s="219" t="s">
        <v>1045</v>
      </c>
    </row>
    <row r="621" spans="1:9">
      <c r="A621" s="229"/>
      <c r="B621" s="230"/>
      <c r="C621" s="231"/>
      <c r="D621" s="234" t="s">
        <v>196</v>
      </c>
      <c r="E621" s="235">
        <v>15.290000000000001</v>
      </c>
      <c r="I621" s="219" t="s">
        <v>196</v>
      </c>
    </row>
    <row r="623" spans="1:9" ht="39.6">
      <c r="A623" s="214" t="s">
        <v>882</v>
      </c>
      <c r="B623" s="215" t="s">
        <v>147</v>
      </c>
      <c r="C623" s="216" t="s">
        <v>23</v>
      </c>
    </row>
    <row r="624" spans="1:9">
      <c r="A624" s="220"/>
      <c r="B624" s="221" t="s">
        <v>347</v>
      </c>
      <c r="C624" s="222" t="s">
        <v>348</v>
      </c>
      <c r="D624" s="223" t="s">
        <v>349</v>
      </c>
      <c r="E624" s="223" t="s">
        <v>350</v>
      </c>
      <c r="I624" s="219" t="s">
        <v>349</v>
      </c>
    </row>
    <row r="625" spans="1:9" ht="26.4">
      <c r="A625" s="224" t="s">
        <v>531</v>
      </c>
      <c r="B625" s="225" t="s">
        <v>532</v>
      </c>
      <c r="C625" s="226">
        <v>1</v>
      </c>
      <c r="D625" s="227">
        <v>119.26</v>
      </c>
      <c r="E625" s="228">
        <v>119.26</v>
      </c>
      <c r="I625" s="219">
        <v>119.26</v>
      </c>
    </row>
    <row r="626" spans="1:9" ht="26.4">
      <c r="A626" s="229" t="s">
        <v>533</v>
      </c>
      <c r="B626" s="230" t="s">
        <v>534</v>
      </c>
      <c r="C626" s="231">
        <v>1</v>
      </c>
      <c r="D626" s="232">
        <v>45.86</v>
      </c>
      <c r="E626" s="233">
        <v>45.86</v>
      </c>
      <c r="I626" s="219">
        <v>45.86</v>
      </c>
    </row>
    <row r="627" spans="1:9" ht="39.6">
      <c r="A627" s="229" t="s">
        <v>535</v>
      </c>
      <c r="B627" s="230" t="s">
        <v>536</v>
      </c>
      <c r="C627" s="231">
        <v>1</v>
      </c>
      <c r="D627" s="232">
        <v>221.41</v>
      </c>
      <c r="E627" s="233">
        <v>221.41</v>
      </c>
      <c r="I627" s="219">
        <v>221.41</v>
      </c>
    </row>
    <row r="628" spans="1:9" ht="26.4">
      <c r="A628" s="229" t="s">
        <v>537</v>
      </c>
      <c r="B628" s="230" t="s">
        <v>538</v>
      </c>
      <c r="C628" s="231">
        <v>2</v>
      </c>
      <c r="D628" s="232">
        <v>18.399999999999999</v>
      </c>
      <c r="E628" s="233">
        <v>36.799999999999997</v>
      </c>
      <c r="I628" s="219">
        <v>18.399999999999999</v>
      </c>
    </row>
    <row r="629" spans="1:9" ht="39.6">
      <c r="A629" s="229" t="s">
        <v>539</v>
      </c>
      <c r="B629" s="230" t="s">
        <v>540</v>
      </c>
      <c r="C629" s="231">
        <v>1</v>
      </c>
      <c r="D629" s="232">
        <v>61.14</v>
      </c>
      <c r="E629" s="233">
        <v>61.14</v>
      </c>
      <c r="I629" s="219">
        <v>61.14</v>
      </c>
    </row>
    <row r="630" spans="1:9">
      <c r="A630" s="229"/>
      <c r="B630" s="230"/>
      <c r="C630" s="231"/>
      <c r="D630" s="232" t="s">
        <v>361</v>
      </c>
      <c r="E630" s="233">
        <v>484.46999999999997</v>
      </c>
      <c r="I630" s="219" t="s">
        <v>361</v>
      </c>
    </row>
    <row r="631" spans="1:9">
      <c r="A631" s="229"/>
      <c r="B631" s="230"/>
      <c r="C631" s="231"/>
      <c r="D631" s="232" t="s">
        <v>367</v>
      </c>
      <c r="E631" s="233">
        <v>484.46999999999997</v>
      </c>
      <c r="I631" s="219" t="s">
        <v>367</v>
      </c>
    </row>
    <row r="632" spans="1:9">
      <c r="A632" s="229"/>
      <c r="B632" s="230"/>
      <c r="C632" s="231"/>
      <c r="D632" s="232" t="s">
        <v>1045</v>
      </c>
      <c r="E632" s="233">
        <v>139.62</v>
      </c>
      <c r="I632" s="219" t="s">
        <v>1045</v>
      </c>
    </row>
    <row r="633" spans="1:9">
      <c r="A633" s="229"/>
      <c r="B633" s="230"/>
      <c r="C633" s="231"/>
      <c r="D633" s="234" t="s">
        <v>196</v>
      </c>
      <c r="E633" s="235">
        <v>624.08999999999992</v>
      </c>
      <c r="I633" s="219" t="s">
        <v>196</v>
      </c>
    </row>
    <row r="635" spans="1:9" ht="39.6">
      <c r="A635" s="214" t="s">
        <v>883</v>
      </c>
      <c r="B635" s="215" t="s">
        <v>206</v>
      </c>
      <c r="C635" s="216" t="s">
        <v>23</v>
      </c>
    </row>
    <row r="636" spans="1:9">
      <c r="A636" s="220"/>
      <c r="B636" s="221" t="s">
        <v>347</v>
      </c>
      <c r="C636" s="222" t="s">
        <v>348</v>
      </c>
      <c r="D636" s="223" t="s">
        <v>349</v>
      </c>
      <c r="E636" s="223" t="s">
        <v>350</v>
      </c>
      <c r="I636" s="219" t="s">
        <v>349</v>
      </c>
    </row>
    <row r="637" spans="1:9" ht="26.4">
      <c r="A637" s="224" t="s">
        <v>541</v>
      </c>
      <c r="B637" s="225" t="s">
        <v>542</v>
      </c>
      <c r="C637" s="226">
        <v>1</v>
      </c>
      <c r="D637" s="227">
        <v>123.88</v>
      </c>
      <c r="E637" s="228">
        <v>123.88</v>
      </c>
      <c r="I637" s="219">
        <v>123.88</v>
      </c>
    </row>
    <row r="638" spans="1:9" ht="26.4">
      <c r="A638" s="229" t="s">
        <v>543</v>
      </c>
      <c r="B638" s="230" t="s">
        <v>544</v>
      </c>
      <c r="C638" s="231">
        <v>1</v>
      </c>
      <c r="D638" s="232">
        <v>49.13</v>
      </c>
      <c r="E638" s="233">
        <v>49.13</v>
      </c>
      <c r="I638" s="219">
        <v>49.13</v>
      </c>
    </row>
    <row r="639" spans="1:9" ht="39.6">
      <c r="A639" s="229" t="s">
        <v>545</v>
      </c>
      <c r="B639" s="230" t="s">
        <v>546</v>
      </c>
      <c r="C639" s="231">
        <v>1</v>
      </c>
      <c r="D639" s="232">
        <v>232.53</v>
      </c>
      <c r="E639" s="233">
        <v>232.53</v>
      </c>
      <c r="I639" s="219">
        <v>232.53</v>
      </c>
    </row>
    <row r="640" spans="1:9" ht="26.4">
      <c r="A640" s="229" t="s">
        <v>547</v>
      </c>
      <c r="B640" s="230" t="s">
        <v>548</v>
      </c>
      <c r="C640" s="231">
        <v>2</v>
      </c>
      <c r="D640" s="232">
        <v>19.309999999999999</v>
      </c>
      <c r="E640" s="233">
        <v>38.619999999999997</v>
      </c>
      <c r="I640" s="219">
        <v>19.309999999999999</v>
      </c>
    </row>
    <row r="641" spans="1:9" ht="39.6">
      <c r="A641" s="229" t="s">
        <v>539</v>
      </c>
      <c r="B641" s="230" t="s">
        <v>540</v>
      </c>
      <c r="C641" s="231">
        <v>1</v>
      </c>
      <c r="D641" s="232">
        <v>61.14</v>
      </c>
      <c r="E641" s="233">
        <v>61.14</v>
      </c>
      <c r="I641" s="219">
        <v>61.14</v>
      </c>
    </row>
    <row r="642" spans="1:9">
      <c r="A642" s="229"/>
      <c r="B642" s="230"/>
      <c r="C642" s="231"/>
      <c r="D642" s="232" t="s">
        <v>361</v>
      </c>
      <c r="E642" s="233">
        <v>505.29999999999995</v>
      </c>
      <c r="I642" s="219" t="s">
        <v>361</v>
      </c>
    </row>
    <row r="643" spans="1:9">
      <c r="A643" s="229"/>
      <c r="B643" s="230"/>
      <c r="C643" s="231"/>
      <c r="D643" s="232" t="s">
        <v>367</v>
      </c>
      <c r="E643" s="233">
        <v>505.29999999999995</v>
      </c>
      <c r="I643" s="219" t="s">
        <v>367</v>
      </c>
    </row>
    <row r="644" spans="1:9">
      <c r="A644" s="229"/>
      <c r="B644" s="230"/>
      <c r="C644" s="231"/>
      <c r="D644" s="232" t="s">
        <v>1045</v>
      </c>
      <c r="E644" s="233">
        <v>145.62</v>
      </c>
      <c r="I644" s="219" t="s">
        <v>1045</v>
      </c>
    </row>
    <row r="645" spans="1:9">
      <c r="A645" s="229"/>
      <c r="B645" s="230"/>
      <c r="C645" s="231"/>
      <c r="D645" s="234" t="s">
        <v>196</v>
      </c>
      <c r="E645" s="235">
        <v>650.91999999999996</v>
      </c>
      <c r="I645" s="219" t="s">
        <v>196</v>
      </c>
    </row>
    <row r="647" spans="1:9" ht="39.6">
      <c r="A647" s="214" t="s">
        <v>884</v>
      </c>
      <c r="B647" s="215" t="s">
        <v>207</v>
      </c>
      <c r="C647" s="216" t="s">
        <v>23</v>
      </c>
    </row>
    <row r="648" spans="1:9">
      <c r="A648" s="220"/>
      <c r="B648" s="221" t="s">
        <v>347</v>
      </c>
      <c r="C648" s="222" t="s">
        <v>348</v>
      </c>
      <c r="D648" s="223" t="s">
        <v>349</v>
      </c>
      <c r="E648" s="223" t="s">
        <v>350</v>
      </c>
      <c r="I648" s="219" t="s">
        <v>349</v>
      </c>
    </row>
    <row r="649" spans="1:9" ht="26.4">
      <c r="A649" s="224" t="s">
        <v>549</v>
      </c>
      <c r="B649" s="225" t="s">
        <v>550</v>
      </c>
      <c r="C649" s="226">
        <v>1</v>
      </c>
      <c r="D649" s="227">
        <v>110.03</v>
      </c>
      <c r="E649" s="228">
        <v>110.03</v>
      </c>
      <c r="I649" s="219">
        <v>110.03</v>
      </c>
    </row>
    <row r="650" spans="1:9" ht="26.4">
      <c r="A650" s="229" t="s">
        <v>551</v>
      </c>
      <c r="B650" s="230" t="s">
        <v>552</v>
      </c>
      <c r="C650" s="231">
        <v>1</v>
      </c>
      <c r="D650" s="232">
        <v>39.35</v>
      </c>
      <c r="E650" s="233">
        <v>39.35</v>
      </c>
      <c r="I650" s="219">
        <v>39.35</v>
      </c>
    </row>
    <row r="651" spans="1:9" ht="39.6">
      <c r="A651" s="229" t="s">
        <v>553</v>
      </c>
      <c r="B651" s="230" t="s">
        <v>554</v>
      </c>
      <c r="C651" s="231">
        <v>1</v>
      </c>
      <c r="D651" s="232">
        <v>206.4</v>
      </c>
      <c r="E651" s="233">
        <v>206.4</v>
      </c>
      <c r="I651" s="219">
        <v>206.4</v>
      </c>
    </row>
    <row r="652" spans="1:9" ht="26.4">
      <c r="A652" s="229" t="s">
        <v>555</v>
      </c>
      <c r="B652" s="230" t="s">
        <v>556</v>
      </c>
      <c r="C652" s="231">
        <v>2</v>
      </c>
      <c r="D652" s="232">
        <v>16.62</v>
      </c>
      <c r="E652" s="233">
        <v>33.24</v>
      </c>
      <c r="I652" s="219">
        <v>16.62</v>
      </c>
    </row>
    <row r="653" spans="1:9" ht="39.6">
      <c r="A653" s="229" t="s">
        <v>557</v>
      </c>
      <c r="B653" s="230" t="s">
        <v>558</v>
      </c>
      <c r="C653" s="231">
        <v>1</v>
      </c>
      <c r="D653" s="232">
        <v>47.89</v>
      </c>
      <c r="E653" s="233">
        <v>47.89</v>
      </c>
      <c r="I653" s="219">
        <v>47.89</v>
      </c>
    </row>
    <row r="654" spans="1:9">
      <c r="A654" s="229"/>
      <c r="B654" s="230"/>
      <c r="C654" s="231"/>
      <c r="D654" s="232" t="s">
        <v>361</v>
      </c>
      <c r="E654" s="233">
        <v>436.90999999999997</v>
      </c>
      <c r="I654" s="219" t="s">
        <v>361</v>
      </c>
    </row>
    <row r="655" spans="1:9">
      <c r="A655" s="229"/>
      <c r="B655" s="230"/>
      <c r="C655" s="231"/>
      <c r="D655" s="232" t="s">
        <v>367</v>
      </c>
      <c r="E655" s="233">
        <v>436.90999999999997</v>
      </c>
      <c r="I655" s="219" t="s">
        <v>367</v>
      </c>
    </row>
    <row r="656" spans="1:9">
      <c r="A656" s="229"/>
      <c r="B656" s="230"/>
      <c r="C656" s="231"/>
      <c r="D656" s="232" t="s">
        <v>1045</v>
      </c>
      <c r="E656" s="233">
        <v>125.91</v>
      </c>
      <c r="I656" s="219" t="s">
        <v>1045</v>
      </c>
    </row>
    <row r="657" spans="1:9">
      <c r="A657" s="229"/>
      <c r="B657" s="230"/>
      <c r="C657" s="231"/>
      <c r="D657" s="234" t="s">
        <v>196</v>
      </c>
      <c r="E657" s="235">
        <v>562.81999999999994</v>
      </c>
      <c r="I657" s="219" t="s">
        <v>196</v>
      </c>
    </row>
    <row r="659" spans="1:9" ht="26.4">
      <c r="A659" s="253" t="s">
        <v>885</v>
      </c>
      <c r="B659" s="215" t="s">
        <v>162</v>
      </c>
      <c r="C659" s="216" t="s">
        <v>23</v>
      </c>
    </row>
    <row r="660" spans="1:9">
      <c r="A660" s="255"/>
      <c r="B660" s="237" t="s">
        <v>347</v>
      </c>
      <c r="C660" s="238" t="s">
        <v>348</v>
      </c>
      <c r="D660" s="239" t="s">
        <v>349</v>
      </c>
      <c r="E660" s="239" t="s">
        <v>350</v>
      </c>
      <c r="I660" s="219" t="s">
        <v>349</v>
      </c>
    </row>
    <row r="661" spans="1:9" ht="26.4">
      <c r="A661" s="256" t="s">
        <v>559</v>
      </c>
      <c r="B661" s="254" t="s">
        <v>824</v>
      </c>
      <c r="C661" s="226">
        <v>1</v>
      </c>
      <c r="D661" s="227">
        <v>183</v>
      </c>
      <c r="E661" s="228">
        <v>183</v>
      </c>
      <c r="I661" s="219">
        <v>183</v>
      </c>
    </row>
    <row r="662" spans="1:9">
      <c r="A662" s="257"/>
      <c r="B662" s="230"/>
      <c r="C662" s="231"/>
      <c r="D662" s="232" t="s">
        <v>361</v>
      </c>
      <c r="E662" s="233">
        <v>183</v>
      </c>
      <c r="I662" s="219" t="s">
        <v>361</v>
      </c>
    </row>
    <row r="663" spans="1:9">
      <c r="A663" s="257"/>
      <c r="B663" s="230"/>
      <c r="C663" s="231"/>
      <c r="D663" s="232" t="s">
        <v>367</v>
      </c>
      <c r="E663" s="233">
        <v>183</v>
      </c>
      <c r="I663" s="219" t="s">
        <v>367</v>
      </c>
    </row>
    <row r="664" spans="1:9">
      <c r="A664" s="257"/>
      <c r="B664" s="230"/>
      <c r="C664" s="231"/>
      <c r="D664" s="232" t="s">
        <v>1045</v>
      </c>
      <c r="E664" s="233">
        <v>52.74</v>
      </c>
      <c r="I664" s="219" t="s">
        <v>1045</v>
      </c>
    </row>
    <row r="665" spans="1:9">
      <c r="A665" s="257"/>
      <c r="B665" s="230"/>
      <c r="C665" s="231"/>
      <c r="D665" s="234" t="s">
        <v>196</v>
      </c>
      <c r="E665" s="235">
        <v>235.74</v>
      </c>
      <c r="I665" s="219" t="s">
        <v>196</v>
      </c>
    </row>
    <row r="666" spans="1:9">
      <c r="A666" s="253"/>
    </row>
    <row r="667" spans="1:9" ht="26.4">
      <c r="A667" s="253" t="s">
        <v>886</v>
      </c>
      <c r="B667" s="215" t="s">
        <v>156</v>
      </c>
      <c r="C667" s="216" t="s">
        <v>28</v>
      </c>
    </row>
    <row r="668" spans="1:9">
      <c r="A668" s="255"/>
      <c r="B668" s="237" t="s">
        <v>347</v>
      </c>
      <c r="C668" s="238" t="s">
        <v>348</v>
      </c>
      <c r="D668" s="239" t="s">
        <v>349</v>
      </c>
      <c r="E668" s="239" t="s">
        <v>350</v>
      </c>
      <c r="I668" s="219" t="s">
        <v>349</v>
      </c>
    </row>
    <row r="669" spans="1:9" ht="26.4">
      <c r="A669" s="256" t="s">
        <v>560</v>
      </c>
      <c r="B669" s="254" t="s">
        <v>825</v>
      </c>
      <c r="C669" s="226">
        <v>1</v>
      </c>
      <c r="D669" s="227">
        <v>722.78</v>
      </c>
      <c r="E669" s="228">
        <v>722.78</v>
      </c>
      <c r="I669" s="219">
        <v>722.78</v>
      </c>
    </row>
    <row r="670" spans="1:9">
      <c r="A670" s="257"/>
      <c r="B670" s="230"/>
      <c r="C670" s="231"/>
      <c r="D670" s="232" t="s">
        <v>361</v>
      </c>
      <c r="E670" s="233">
        <v>722.78</v>
      </c>
      <c r="I670" s="219" t="s">
        <v>361</v>
      </c>
    </row>
    <row r="671" spans="1:9">
      <c r="A671" s="257"/>
      <c r="B671" s="230"/>
      <c r="C671" s="231"/>
      <c r="D671" s="232" t="s">
        <v>367</v>
      </c>
      <c r="E671" s="233">
        <v>722.78</v>
      </c>
      <c r="I671" s="219" t="s">
        <v>367</v>
      </c>
    </row>
    <row r="672" spans="1:9">
      <c r="A672" s="257"/>
      <c r="B672" s="230"/>
      <c r="C672" s="231"/>
      <c r="D672" s="232" t="s">
        <v>1045</v>
      </c>
      <c r="E672" s="233">
        <v>208.3</v>
      </c>
      <c r="I672" s="219" t="s">
        <v>1045</v>
      </c>
    </row>
    <row r="673" spans="1:9">
      <c r="A673" s="257"/>
      <c r="B673" s="230"/>
      <c r="C673" s="231"/>
      <c r="D673" s="234" t="s">
        <v>196</v>
      </c>
      <c r="E673" s="235">
        <v>931.07999999999993</v>
      </c>
      <c r="I673" s="219" t="s">
        <v>196</v>
      </c>
    </row>
    <row r="674" spans="1:9">
      <c r="A674" s="253"/>
    </row>
    <row r="675" spans="1:9" ht="26.4">
      <c r="A675" s="253" t="s">
        <v>887</v>
      </c>
      <c r="B675" s="215" t="s">
        <v>220</v>
      </c>
      <c r="C675" s="216" t="s">
        <v>28</v>
      </c>
    </row>
    <row r="676" spans="1:9">
      <c r="A676" s="236"/>
      <c r="B676" s="237" t="s">
        <v>347</v>
      </c>
      <c r="C676" s="238" t="s">
        <v>348</v>
      </c>
      <c r="D676" s="239" t="s">
        <v>349</v>
      </c>
      <c r="E676" s="239" t="s">
        <v>350</v>
      </c>
      <c r="I676" s="219" t="s">
        <v>349</v>
      </c>
    </row>
    <row r="677" spans="1:9" ht="26.4">
      <c r="A677" s="224" t="s">
        <v>561</v>
      </c>
      <c r="B677" s="254" t="s">
        <v>826</v>
      </c>
      <c r="C677" s="226">
        <v>1</v>
      </c>
      <c r="D677" s="227">
        <v>168.85</v>
      </c>
      <c r="E677" s="228">
        <v>168.85</v>
      </c>
      <c r="I677" s="219">
        <v>168.85</v>
      </c>
    </row>
    <row r="678" spans="1:9">
      <c r="A678" s="229"/>
      <c r="B678" s="230"/>
      <c r="C678" s="231"/>
      <c r="D678" s="232" t="s">
        <v>361</v>
      </c>
      <c r="E678" s="233">
        <v>168.85</v>
      </c>
      <c r="I678" s="219" t="s">
        <v>361</v>
      </c>
    </row>
    <row r="679" spans="1:9">
      <c r="A679" s="229"/>
      <c r="B679" s="230"/>
      <c r="C679" s="231"/>
      <c r="D679" s="232" t="s">
        <v>367</v>
      </c>
      <c r="E679" s="233">
        <v>168.85</v>
      </c>
      <c r="I679" s="219" t="s">
        <v>367</v>
      </c>
    </row>
    <row r="680" spans="1:9">
      <c r="A680" s="229"/>
      <c r="B680" s="230"/>
      <c r="C680" s="231"/>
      <c r="D680" s="232" t="s">
        <v>1045</v>
      </c>
      <c r="E680" s="233">
        <v>48.66</v>
      </c>
      <c r="I680" s="219" t="s">
        <v>1045</v>
      </c>
    </row>
    <row r="681" spans="1:9">
      <c r="A681" s="229"/>
      <c r="B681" s="230"/>
      <c r="C681" s="231"/>
      <c r="D681" s="234" t="s">
        <v>196</v>
      </c>
      <c r="E681" s="235">
        <v>217.51</v>
      </c>
      <c r="I681" s="219" t="s">
        <v>196</v>
      </c>
    </row>
    <row r="683" spans="1:9" ht="26.4">
      <c r="A683" s="214" t="s">
        <v>888</v>
      </c>
      <c r="B683" s="215" t="s">
        <v>221</v>
      </c>
      <c r="C683" s="216" t="s">
        <v>23</v>
      </c>
    </row>
    <row r="684" spans="1:9">
      <c r="A684" s="220"/>
      <c r="B684" s="221" t="s">
        <v>347</v>
      </c>
      <c r="C684" s="222" t="s">
        <v>348</v>
      </c>
      <c r="D684" s="223" t="s">
        <v>349</v>
      </c>
      <c r="E684" s="223" t="s">
        <v>350</v>
      </c>
      <c r="I684" s="219" t="s">
        <v>349</v>
      </c>
    </row>
    <row r="685" spans="1:9">
      <c r="A685" s="224" t="s">
        <v>562</v>
      </c>
      <c r="B685" s="225" t="s">
        <v>563</v>
      </c>
      <c r="C685" s="226">
        <v>1</v>
      </c>
      <c r="D685" s="227">
        <v>715.09</v>
      </c>
      <c r="E685" s="228">
        <v>715.09</v>
      </c>
      <c r="I685" s="219">
        <v>715.09</v>
      </c>
    </row>
    <row r="686" spans="1:9">
      <c r="A686" s="229"/>
      <c r="B686" s="230"/>
      <c r="C686" s="231"/>
      <c r="D686" s="232" t="s">
        <v>361</v>
      </c>
      <c r="E686" s="233">
        <v>715.09</v>
      </c>
      <c r="I686" s="219" t="s">
        <v>361</v>
      </c>
    </row>
    <row r="687" spans="1:9">
      <c r="A687" s="229" t="s">
        <v>364</v>
      </c>
      <c r="B687" s="230" t="s">
        <v>365</v>
      </c>
      <c r="C687" s="231">
        <v>0.3</v>
      </c>
      <c r="D687" s="232">
        <v>10.1</v>
      </c>
      <c r="E687" s="233">
        <v>3.03</v>
      </c>
      <c r="I687" s="219">
        <v>10.1</v>
      </c>
    </row>
    <row r="688" spans="1:9">
      <c r="A688" s="229" t="s">
        <v>564</v>
      </c>
      <c r="B688" s="230" t="s">
        <v>565</v>
      </c>
      <c r="C688" s="231">
        <v>0.75</v>
      </c>
      <c r="D688" s="232">
        <v>10.95</v>
      </c>
      <c r="E688" s="233">
        <v>8.2100000000000009</v>
      </c>
      <c r="I688" s="219">
        <v>10.95</v>
      </c>
    </row>
    <row r="689" spans="1:9">
      <c r="A689" s="229"/>
      <c r="B689" s="230"/>
      <c r="C689" s="231"/>
      <c r="D689" s="232" t="s">
        <v>366</v>
      </c>
      <c r="E689" s="233">
        <v>11.24</v>
      </c>
      <c r="I689" s="219" t="s">
        <v>366</v>
      </c>
    </row>
    <row r="690" spans="1:9">
      <c r="A690" s="229"/>
      <c r="B690" s="230"/>
      <c r="C690" s="231"/>
      <c r="D690" s="232" t="s">
        <v>367</v>
      </c>
      <c r="E690" s="233">
        <v>726.33</v>
      </c>
      <c r="I690" s="219" t="s">
        <v>367</v>
      </c>
    </row>
    <row r="691" spans="1:9">
      <c r="A691" s="229"/>
      <c r="B691" s="230"/>
      <c r="C691" s="231"/>
      <c r="D691" s="232" t="s">
        <v>1045</v>
      </c>
      <c r="E691" s="233">
        <v>209.32</v>
      </c>
      <c r="I691" s="219" t="s">
        <v>1045</v>
      </c>
    </row>
    <row r="692" spans="1:9">
      <c r="A692" s="229"/>
      <c r="B692" s="230"/>
      <c r="C692" s="231"/>
      <c r="D692" s="234" t="s">
        <v>196</v>
      </c>
      <c r="E692" s="235">
        <v>935.65000000000009</v>
      </c>
      <c r="I692" s="219" t="s">
        <v>196</v>
      </c>
    </row>
    <row r="694" spans="1:9" ht="26.4">
      <c r="A694" s="214" t="s">
        <v>889</v>
      </c>
      <c r="B694" s="215" t="s">
        <v>222</v>
      </c>
      <c r="C694" s="216" t="s">
        <v>23</v>
      </c>
    </row>
    <row r="695" spans="1:9">
      <c r="A695" s="220"/>
      <c r="B695" s="221" t="s">
        <v>347</v>
      </c>
      <c r="C695" s="222" t="s">
        <v>348</v>
      </c>
      <c r="D695" s="223" t="s">
        <v>349</v>
      </c>
      <c r="E695" s="223" t="s">
        <v>350</v>
      </c>
      <c r="I695" s="219" t="s">
        <v>349</v>
      </c>
    </row>
    <row r="696" spans="1:9" ht="39.6">
      <c r="A696" s="224" t="s">
        <v>566</v>
      </c>
      <c r="B696" s="225" t="s">
        <v>567</v>
      </c>
      <c r="C696" s="226">
        <v>1</v>
      </c>
      <c r="D696" s="227">
        <v>239.62</v>
      </c>
      <c r="E696" s="228">
        <v>239.62</v>
      </c>
      <c r="I696" s="219">
        <v>239.62</v>
      </c>
    </row>
    <row r="697" spans="1:9">
      <c r="A697" s="229"/>
      <c r="B697" s="230"/>
      <c r="C697" s="231"/>
      <c r="D697" s="232" t="s">
        <v>361</v>
      </c>
      <c r="E697" s="233">
        <v>239.62</v>
      </c>
      <c r="I697" s="219" t="s">
        <v>361</v>
      </c>
    </row>
    <row r="698" spans="1:9">
      <c r="A698" s="229" t="s">
        <v>432</v>
      </c>
      <c r="B698" s="230" t="s">
        <v>433</v>
      </c>
      <c r="C698" s="231">
        <v>4.3</v>
      </c>
      <c r="D698" s="232">
        <v>10.44</v>
      </c>
      <c r="E698" s="233">
        <v>44.89</v>
      </c>
      <c r="I698" s="219">
        <v>10.44</v>
      </c>
    </row>
    <row r="699" spans="1:9">
      <c r="A699" s="229" t="s">
        <v>568</v>
      </c>
      <c r="B699" s="230" t="s">
        <v>569</v>
      </c>
      <c r="C699" s="231">
        <v>6.1</v>
      </c>
      <c r="D699" s="232">
        <v>13.16</v>
      </c>
      <c r="E699" s="233">
        <v>80.27</v>
      </c>
      <c r="I699" s="219">
        <v>13.16</v>
      </c>
    </row>
    <row r="700" spans="1:9">
      <c r="A700" s="229" t="s">
        <v>564</v>
      </c>
      <c r="B700" s="230" t="s">
        <v>565</v>
      </c>
      <c r="C700" s="231">
        <v>3.36</v>
      </c>
      <c r="D700" s="232">
        <v>10.95</v>
      </c>
      <c r="E700" s="233">
        <v>36.79</v>
      </c>
      <c r="I700" s="219">
        <v>10.95</v>
      </c>
    </row>
    <row r="701" spans="1:9">
      <c r="A701" s="229"/>
      <c r="B701" s="230"/>
      <c r="C701" s="231"/>
      <c r="D701" s="232" t="s">
        <v>366</v>
      </c>
      <c r="E701" s="233">
        <v>161.94999999999999</v>
      </c>
      <c r="I701" s="219" t="s">
        <v>366</v>
      </c>
    </row>
    <row r="702" spans="1:9">
      <c r="A702" s="229"/>
      <c r="B702" s="230"/>
      <c r="C702" s="231"/>
      <c r="D702" s="232" t="s">
        <v>367</v>
      </c>
      <c r="E702" s="233">
        <v>401.57</v>
      </c>
      <c r="I702" s="219" t="s">
        <v>367</v>
      </c>
    </row>
    <row r="703" spans="1:9">
      <c r="A703" s="229"/>
      <c r="B703" s="230"/>
      <c r="C703" s="231"/>
      <c r="D703" s="232" t="s">
        <v>1045</v>
      </c>
      <c r="E703" s="233">
        <v>115.73</v>
      </c>
      <c r="I703" s="219" t="s">
        <v>1045</v>
      </c>
    </row>
    <row r="704" spans="1:9">
      <c r="A704" s="229"/>
      <c r="B704" s="230"/>
      <c r="C704" s="231"/>
      <c r="D704" s="234" t="s">
        <v>196</v>
      </c>
      <c r="E704" s="235">
        <v>517.29999999999995</v>
      </c>
      <c r="I704" s="219" t="s">
        <v>196</v>
      </c>
    </row>
    <row r="706" spans="1:9" ht="26.4">
      <c r="A706" s="253" t="s">
        <v>890</v>
      </c>
      <c r="B706" s="215" t="s">
        <v>168</v>
      </c>
      <c r="C706" s="216" t="s">
        <v>28</v>
      </c>
    </row>
    <row r="707" spans="1:9">
      <c r="A707" s="236"/>
      <c r="B707" s="237" t="s">
        <v>347</v>
      </c>
      <c r="C707" s="238" t="s">
        <v>348</v>
      </c>
      <c r="D707" s="239" t="s">
        <v>349</v>
      </c>
      <c r="E707" s="239" t="s">
        <v>350</v>
      </c>
      <c r="I707" s="219" t="s">
        <v>349</v>
      </c>
    </row>
    <row r="708" spans="1:9" s="247" customFormat="1">
      <c r="A708" s="242" t="s">
        <v>812</v>
      </c>
      <c r="B708" s="243" t="s">
        <v>813</v>
      </c>
      <c r="C708" s="244">
        <v>1.54</v>
      </c>
      <c r="D708" s="245">
        <v>23.93</v>
      </c>
      <c r="E708" s="246">
        <v>36.85</v>
      </c>
      <c r="I708" s="247">
        <v>23.93</v>
      </c>
    </row>
    <row r="709" spans="1:9" s="247" customFormat="1" ht="26.4">
      <c r="A709" s="248" t="s">
        <v>814</v>
      </c>
      <c r="B709" s="249" t="s">
        <v>815</v>
      </c>
      <c r="C709" s="250">
        <v>1.05</v>
      </c>
      <c r="D709" s="251">
        <v>15.88</v>
      </c>
      <c r="E709" s="252">
        <v>16.670000000000002</v>
      </c>
      <c r="I709" s="247">
        <v>15.88</v>
      </c>
    </row>
    <row r="710" spans="1:9" s="247" customFormat="1" ht="26.4">
      <c r="A710" s="248" t="s">
        <v>816</v>
      </c>
      <c r="B710" s="249" t="s">
        <v>817</v>
      </c>
      <c r="C710" s="250">
        <v>0.18</v>
      </c>
      <c r="D710" s="251">
        <v>6.62</v>
      </c>
      <c r="E710" s="252">
        <v>1.19</v>
      </c>
      <c r="I710" s="247">
        <v>6.62</v>
      </c>
    </row>
    <row r="711" spans="1:9" s="247" customFormat="1">
      <c r="A711" s="248" t="s">
        <v>818</v>
      </c>
      <c r="B711" s="249" t="s">
        <v>819</v>
      </c>
      <c r="C711" s="250">
        <v>1</v>
      </c>
      <c r="D711" s="251">
        <v>224.61</v>
      </c>
      <c r="E711" s="252">
        <v>224.61</v>
      </c>
      <c r="I711" s="247">
        <v>224.61</v>
      </c>
    </row>
    <row r="712" spans="1:9" s="247" customFormat="1">
      <c r="A712" s="248"/>
      <c r="B712" s="249"/>
      <c r="C712" s="250"/>
      <c r="D712" s="251" t="s">
        <v>361</v>
      </c>
      <c r="E712" s="252">
        <v>279.32</v>
      </c>
      <c r="I712" s="247" t="s">
        <v>361</v>
      </c>
    </row>
    <row r="713" spans="1:9" s="247" customFormat="1">
      <c r="A713" s="248" t="s">
        <v>432</v>
      </c>
      <c r="B713" s="249" t="s">
        <v>433</v>
      </c>
      <c r="C713" s="250">
        <v>1.8</v>
      </c>
      <c r="D713" s="251">
        <v>10.44</v>
      </c>
      <c r="E713" s="252">
        <v>18.79</v>
      </c>
      <c r="I713" s="247">
        <v>10.44</v>
      </c>
    </row>
    <row r="714" spans="1:9" s="247" customFormat="1">
      <c r="A714" s="248" t="s">
        <v>564</v>
      </c>
      <c r="B714" s="249" t="s">
        <v>565</v>
      </c>
      <c r="C714" s="250">
        <v>1.8</v>
      </c>
      <c r="D714" s="251">
        <v>10.95</v>
      </c>
      <c r="E714" s="252">
        <v>19.71</v>
      </c>
      <c r="I714" s="247">
        <v>10.95</v>
      </c>
    </row>
    <row r="715" spans="1:9" s="247" customFormat="1">
      <c r="A715" s="248"/>
      <c r="B715" s="249"/>
      <c r="C715" s="250"/>
      <c r="D715" s="251" t="s">
        <v>366</v>
      </c>
      <c r="E715" s="252">
        <v>38.5</v>
      </c>
      <c r="I715" s="247" t="s">
        <v>366</v>
      </c>
    </row>
    <row r="716" spans="1:9" s="247" customFormat="1">
      <c r="A716" s="248"/>
      <c r="B716" s="249"/>
      <c r="C716" s="250"/>
      <c r="D716" s="251" t="s">
        <v>367</v>
      </c>
      <c r="E716" s="252">
        <v>317.82</v>
      </c>
      <c r="I716" s="247" t="s">
        <v>367</v>
      </c>
    </row>
    <row r="717" spans="1:9" s="247" customFormat="1">
      <c r="A717" s="248"/>
      <c r="B717" s="249"/>
      <c r="C717" s="250"/>
      <c r="D717" s="251" t="s">
        <v>1045</v>
      </c>
      <c r="E717" s="252">
        <v>91.59</v>
      </c>
      <c r="I717" s="247" t="s">
        <v>1045</v>
      </c>
    </row>
    <row r="718" spans="1:9" s="247" customFormat="1">
      <c r="A718" s="248"/>
      <c r="B718" s="249"/>
      <c r="C718" s="250"/>
      <c r="D718" s="240" t="s">
        <v>196</v>
      </c>
      <c r="E718" s="241">
        <v>409.40999999999997</v>
      </c>
      <c r="I718" s="247" t="s">
        <v>196</v>
      </c>
    </row>
    <row r="720" spans="1:9" ht="26.4">
      <c r="A720" s="214" t="s">
        <v>891</v>
      </c>
      <c r="B720" s="215" t="s">
        <v>218</v>
      </c>
      <c r="C720" s="216" t="s">
        <v>28</v>
      </c>
    </row>
    <row r="721" spans="1:9">
      <c r="A721" s="220"/>
      <c r="B721" s="221" t="s">
        <v>347</v>
      </c>
      <c r="C721" s="222" t="s">
        <v>348</v>
      </c>
      <c r="D721" s="223" t="s">
        <v>349</v>
      </c>
      <c r="E721" s="223" t="s">
        <v>350</v>
      </c>
      <c r="I721" s="219" t="s">
        <v>349</v>
      </c>
    </row>
    <row r="722" spans="1:9">
      <c r="A722" s="224" t="s">
        <v>570</v>
      </c>
      <c r="B722" s="225" t="s">
        <v>571</v>
      </c>
      <c r="C722" s="226">
        <v>1.5</v>
      </c>
      <c r="D722" s="227">
        <v>4.9800000000000004</v>
      </c>
      <c r="E722" s="228">
        <v>7.47</v>
      </c>
      <c r="I722" s="219">
        <v>4.9800000000000004</v>
      </c>
    </row>
    <row r="723" spans="1:9">
      <c r="A723" s="229" t="s">
        <v>572</v>
      </c>
      <c r="B723" s="230" t="s">
        <v>573</v>
      </c>
      <c r="C723" s="231">
        <v>1</v>
      </c>
      <c r="D723" s="232">
        <v>164.68</v>
      </c>
      <c r="E723" s="233">
        <v>164.68</v>
      </c>
      <c r="I723" s="219">
        <v>164.68</v>
      </c>
    </row>
    <row r="724" spans="1:9">
      <c r="A724" s="229"/>
      <c r="B724" s="230"/>
      <c r="C724" s="231"/>
      <c r="D724" s="232" t="s">
        <v>361</v>
      </c>
      <c r="E724" s="233">
        <v>172.15</v>
      </c>
      <c r="I724" s="219" t="s">
        <v>361</v>
      </c>
    </row>
    <row r="725" spans="1:9">
      <c r="A725" s="229" t="s">
        <v>364</v>
      </c>
      <c r="B725" s="230" t="s">
        <v>365</v>
      </c>
      <c r="C725" s="231">
        <v>0.5</v>
      </c>
      <c r="D725" s="232">
        <v>10.1</v>
      </c>
      <c r="E725" s="233">
        <v>5.05</v>
      </c>
      <c r="I725" s="219">
        <v>10.1</v>
      </c>
    </row>
    <row r="726" spans="1:9">
      <c r="A726" s="229" t="s">
        <v>564</v>
      </c>
      <c r="B726" s="230" t="s">
        <v>565</v>
      </c>
      <c r="C726" s="231">
        <v>0.5</v>
      </c>
      <c r="D726" s="232">
        <v>10.95</v>
      </c>
      <c r="E726" s="233">
        <v>5.47</v>
      </c>
      <c r="I726" s="219">
        <v>10.95</v>
      </c>
    </row>
    <row r="727" spans="1:9">
      <c r="A727" s="229"/>
      <c r="B727" s="230"/>
      <c r="C727" s="231"/>
      <c r="D727" s="232" t="s">
        <v>366</v>
      </c>
      <c r="E727" s="233">
        <v>10.52</v>
      </c>
      <c r="I727" s="219" t="s">
        <v>366</v>
      </c>
    </row>
    <row r="728" spans="1:9">
      <c r="A728" s="229"/>
      <c r="B728" s="230"/>
      <c r="C728" s="231"/>
      <c r="D728" s="232" t="s">
        <v>367</v>
      </c>
      <c r="E728" s="233">
        <v>182.67000000000002</v>
      </c>
      <c r="I728" s="219" t="s">
        <v>367</v>
      </c>
    </row>
    <row r="729" spans="1:9">
      <c r="A729" s="229"/>
      <c r="B729" s="230"/>
      <c r="C729" s="231"/>
      <c r="D729" s="232" t="s">
        <v>1045</v>
      </c>
      <c r="E729" s="233">
        <v>52.64</v>
      </c>
      <c r="I729" s="219" t="s">
        <v>1045</v>
      </c>
    </row>
    <row r="730" spans="1:9">
      <c r="A730" s="229"/>
      <c r="B730" s="230"/>
      <c r="C730" s="231"/>
      <c r="D730" s="234" t="s">
        <v>196</v>
      </c>
      <c r="E730" s="235">
        <v>235.31</v>
      </c>
      <c r="I730" s="219" t="s">
        <v>196</v>
      </c>
    </row>
    <row r="732" spans="1:9" ht="39.6">
      <c r="A732" s="214" t="s">
        <v>892</v>
      </c>
      <c r="B732" s="215" t="s">
        <v>321</v>
      </c>
      <c r="C732" s="216" t="s">
        <v>322</v>
      </c>
    </row>
    <row r="733" spans="1:9">
      <c r="A733" s="220"/>
      <c r="B733" s="221" t="s">
        <v>347</v>
      </c>
      <c r="C733" s="222" t="s">
        <v>348</v>
      </c>
      <c r="D733" s="223" t="s">
        <v>349</v>
      </c>
      <c r="E733" s="223" t="s">
        <v>350</v>
      </c>
      <c r="I733" s="219" t="s">
        <v>349</v>
      </c>
    </row>
    <row r="734" spans="1:9" ht="26.4">
      <c r="A734" s="224" t="s">
        <v>574</v>
      </c>
      <c r="B734" s="225" t="s">
        <v>575</v>
      </c>
      <c r="C734" s="226">
        <v>6</v>
      </c>
      <c r="D734" s="227">
        <v>6.19</v>
      </c>
      <c r="E734" s="228">
        <v>37.14</v>
      </c>
      <c r="I734" s="219">
        <v>6.19</v>
      </c>
    </row>
    <row r="735" spans="1:9" ht="26.4">
      <c r="A735" s="229" t="s">
        <v>576</v>
      </c>
      <c r="B735" s="230" t="s">
        <v>577</v>
      </c>
      <c r="C735" s="231">
        <v>3.5</v>
      </c>
      <c r="D735" s="232">
        <v>2.17</v>
      </c>
      <c r="E735" s="233">
        <v>7.59</v>
      </c>
      <c r="I735" s="219">
        <v>2.17</v>
      </c>
    </row>
    <row r="736" spans="1:9" ht="26.4">
      <c r="A736" s="229" t="s">
        <v>578</v>
      </c>
      <c r="B736" s="230" t="s">
        <v>579</v>
      </c>
      <c r="C736" s="231">
        <v>16</v>
      </c>
      <c r="D736" s="232">
        <v>9.49</v>
      </c>
      <c r="E736" s="233">
        <v>151.84</v>
      </c>
      <c r="I736" s="219">
        <v>9.49</v>
      </c>
    </row>
    <row r="737" spans="1:9" ht="26.4">
      <c r="A737" s="229" t="s">
        <v>580</v>
      </c>
      <c r="B737" s="230" t="s">
        <v>581</v>
      </c>
      <c r="C737" s="231">
        <v>3</v>
      </c>
      <c r="D737" s="232">
        <v>5.0999999999999996</v>
      </c>
      <c r="E737" s="233">
        <v>15.3</v>
      </c>
      <c r="I737" s="219">
        <v>5.0999999999999996</v>
      </c>
    </row>
    <row r="738" spans="1:9" ht="26.4">
      <c r="A738" s="229" t="s">
        <v>582</v>
      </c>
      <c r="B738" s="230" t="s">
        <v>583</v>
      </c>
      <c r="C738" s="231">
        <v>1</v>
      </c>
      <c r="D738" s="232">
        <v>10.07</v>
      </c>
      <c r="E738" s="233">
        <v>10.07</v>
      </c>
      <c r="I738" s="219">
        <v>10.07</v>
      </c>
    </row>
    <row r="739" spans="1:9">
      <c r="A739" s="229" t="s">
        <v>584</v>
      </c>
      <c r="B739" s="230" t="s">
        <v>585</v>
      </c>
      <c r="C739" s="231">
        <v>1.925</v>
      </c>
      <c r="D739" s="232">
        <v>8.32</v>
      </c>
      <c r="E739" s="233">
        <v>16.010000000000002</v>
      </c>
      <c r="I739" s="219">
        <v>8.32</v>
      </c>
    </row>
    <row r="740" spans="1:9" ht="39.6">
      <c r="A740" s="229" t="s">
        <v>586</v>
      </c>
      <c r="B740" s="230" t="s">
        <v>587</v>
      </c>
      <c r="C740" s="231">
        <v>1</v>
      </c>
      <c r="D740" s="232">
        <v>219.16</v>
      </c>
      <c r="E740" s="233">
        <v>219.16</v>
      </c>
      <c r="I740" s="219">
        <v>219.16</v>
      </c>
    </row>
    <row r="741" spans="1:9">
      <c r="A741" s="229"/>
      <c r="B741" s="230"/>
      <c r="C741" s="231"/>
      <c r="D741" s="232" t="s">
        <v>361</v>
      </c>
      <c r="E741" s="233">
        <v>457.11</v>
      </c>
      <c r="I741" s="219" t="s">
        <v>361</v>
      </c>
    </row>
    <row r="742" spans="1:9">
      <c r="A742" s="229" t="s">
        <v>432</v>
      </c>
      <c r="B742" s="230" t="s">
        <v>433</v>
      </c>
      <c r="C742" s="231">
        <v>4.3230000000000004</v>
      </c>
      <c r="D742" s="232">
        <v>10.44</v>
      </c>
      <c r="E742" s="233">
        <v>45.13</v>
      </c>
      <c r="I742" s="219">
        <v>10.44</v>
      </c>
    </row>
    <row r="743" spans="1:9">
      <c r="A743" s="229" t="s">
        <v>362</v>
      </c>
      <c r="B743" s="230" t="s">
        <v>363</v>
      </c>
      <c r="C743" s="231">
        <v>18.734999999999999</v>
      </c>
      <c r="D743" s="232">
        <v>12.32</v>
      </c>
      <c r="E743" s="233">
        <v>230.81</v>
      </c>
      <c r="I743" s="219">
        <v>12.32</v>
      </c>
    </row>
    <row r="744" spans="1:9">
      <c r="A744" s="229"/>
      <c r="B744" s="230"/>
      <c r="C744" s="231"/>
      <c r="D744" s="232" t="s">
        <v>366</v>
      </c>
      <c r="E744" s="233">
        <v>275.94</v>
      </c>
      <c r="I744" s="219" t="s">
        <v>366</v>
      </c>
    </row>
    <row r="745" spans="1:9">
      <c r="A745" s="229"/>
      <c r="B745" s="230"/>
      <c r="C745" s="231"/>
      <c r="D745" s="232" t="s">
        <v>367</v>
      </c>
      <c r="E745" s="233">
        <v>733.05</v>
      </c>
      <c r="I745" s="219" t="s">
        <v>367</v>
      </c>
    </row>
    <row r="746" spans="1:9">
      <c r="A746" s="229"/>
      <c r="B746" s="230"/>
      <c r="C746" s="231"/>
      <c r="D746" s="232" t="s">
        <v>1045</v>
      </c>
      <c r="E746" s="233">
        <v>211.26</v>
      </c>
      <c r="I746" s="219" t="s">
        <v>1045</v>
      </c>
    </row>
    <row r="747" spans="1:9">
      <c r="A747" s="229"/>
      <c r="B747" s="230"/>
      <c r="C747" s="231"/>
      <c r="D747" s="234" t="s">
        <v>196</v>
      </c>
      <c r="E747" s="235">
        <v>944.31</v>
      </c>
      <c r="I747" s="219" t="s">
        <v>196</v>
      </c>
    </row>
    <row r="749" spans="1:9" ht="52.8">
      <c r="A749" s="214" t="s">
        <v>893</v>
      </c>
      <c r="B749" s="215" t="s">
        <v>224</v>
      </c>
      <c r="C749" s="216" t="s">
        <v>28</v>
      </c>
    </row>
    <row r="750" spans="1:9">
      <c r="A750" s="220"/>
      <c r="B750" s="221" t="s">
        <v>347</v>
      </c>
      <c r="C750" s="222" t="s">
        <v>348</v>
      </c>
      <c r="D750" s="223" t="s">
        <v>349</v>
      </c>
      <c r="E750" s="223" t="s">
        <v>350</v>
      </c>
      <c r="I750" s="219" t="s">
        <v>349</v>
      </c>
    </row>
    <row r="751" spans="1:9" ht="26.4">
      <c r="A751" s="224" t="s">
        <v>588</v>
      </c>
      <c r="B751" s="225" t="s">
        <v>589</v>
      </c>
      <c r="C751" s="226">
        <v>4.3330000000000002</v>
      </c>
      <c r="D751" s="227">
        <v>4.49</v>
      </c>
      <c r="E751" s="228">
        <v>19.45</v>
      </c>
      <c r="I751" s="219">
        <v>4.49</v>
      </c>
    </row>
    <row r="752" spans="1:9" ht="26.4">
      <c r="A752" s="229" t="s">
        <v>590</v>
      </c>
      <c r="B752" s="230" t="s">
        <v>591</v>
      </c>
      <c r="C752" s="231">
        <v>7.0000000000000001E-3</v>
      </c>
      <c r="D752" s="232">
        <v>83</v>
      </c>
      <c r="E752" s="233">
        <v>0.57999999999999996</v>
      </c>
      <c r="I752" s="219">
        <v>83</v>
      </c>
    </row>
    <row r="753" spans="1:9" ht="26.4">
      <c r="A753" s="229" t="s">
        <v>592</v>
      </c>
      <c r="B753" s="230" t="s">
        <v>593</v>
      </c>
      <c r="C753" s="231">
        <v>6.7999999999999996E-3</v>
      </c>
      <c r="D753" s="232">
        <v>12.76</v>
      </c>
      <c r="E753" s="233">
        <v>0.08</v>
      </c>
      <c r="I753" s="219">
        <v>12.76</v>
      </c>
    </row>
    <row r="754" spans="1:9" ht="26.4">
      <c r="A754" s="229" t="s">
        <v>594</v>
      </c>
      <c r="B754" s="230" t="s">
        <v>595</v>
      </c>
      <c r="C754" s="231">
        <v>9.4000000000000004E-3</v>
      </c>
      <c r="D754" s="232">
        <v>12.17</v>
      </c>
      <c r="E754" s="233">
        <v>0.11</v>
      </c>
      <c r="I754" s="219">
        <v>12.17</v>
      </c>
    </row>
    <row r="755" spans="1:9">
      <c r="A755" s="229"/>
      <c r="B755" s="230"/>
      <c r="C755" s="231"/>
      <c r="D755" s="232" t="s">
        <v>361</v>
      </c>
      <c r="E755" s="233">
        <v>20.219999999999995</v>
      </c>
      <c r="I755" s="219" t="s">
        <v>361</v>
      </c>
    </row>
    <row r="756" spans="1:9">
      <c r="A756" s="229" t="s">
        <v>442</v>
      </c>
      <c r="B756" s="230" t="s">
        <v>443</v>
      </c>
      <c r="C756" s="231">
        <v>0.21299999999999999</v>
      </c>
      <c r="D756" s="232">
        <v>12.09</v>
      </c>
      <c r="E756" s="233">
        <v>2.57</v>
      </c>
      <c r="I756" s="219">
        <v>12.09</v>
      </c>
    </row>
    <row r="757" spans="1:9">
      <c r="A757" s="229" t="s">
        <v>364</v>
      </c>
      <c r="B757" s="230" t="s">
        <v>365</v>
      </c>
      <c r="C757" s="231">
        <v>0.106</v>
      </c>
      <c r="D757" s="232">
        <v>10.1</v>
      </c>
      <c r="E757" s="233">
        <v>1.07</v>
      </c>
      <c r="I757" s="219">
        <v>10.1</v>
      </c>
    </row>
    <row r="758" spans="1:9">
      <c r="A758" s="229"/>
      <c r="B758" s="230"/>
      <c r="C758" s="231"/>
      <c r="D758" s="232" t="s">
        <v>366</v>
      </c>
      <c r="E758" s="233">
        <v>3.6399999999999997</v>
      </c>
      <c r="I758" s="219" t="s">
        <v>366</v>
      </c>
    </row>
    <row r="759" spans="1:9">
      <c r="A759" s="229"/>
      <c r="B759" s="230"/>
      <c r="C759" s="231"/>
      <c r="D759" s="232" t="s">
        <v>367</v>
      </c>
      <c r="E759" s="233">
        <v>23.859999999999996</v>
      </c>
      <c r="I759" s="219" t="s">
        <v>367</v>
      </c>
    </row>
    <row r="760" spans="1:9">
      <c r="A760" s="229"/>
      <c r="B760" s="230"/>
      <c r="C760" s="231"/>
      <c r="D760" s="232" t="s">
        <v>1045</v>
      </c>
      <c r="E760" s="233">
        <v>6.87</v>
      </c>
      <c r="I760" s="219" t="s">
        <v>1045</v>
      </c>
    </row>
    <row r="761" spans="1:9">
      <c r="A761" s="229"/>
      <c r="B761" s="230"/>
      <c r="C761" s="231"/>
      <c r="D761" s="234" t="s">
        <v>196</v>
      </c>
      <c r="E761" s="235">
        <v>30.729999999999997</v>
      </c>
      <c r="I761" s="219" t="s">
        <v>196</v>
      </c>
    </row>
    <row r="763" spans="1:9" ht="26.4">
      <c r="A763" s="214" t="s">
        <v>894</v>
      </c>
      <c r="B763" s="215" t="s">
        <v>208</v>
      </c>
      <c r="C763" s="216" t="s">
        <v>28</v>
      </c>
    </row>
    <row r="764" spans="1:9">
      <c r="A764" s="220"/>
      <c r="B764" s="221" t="s">
        <v>347</v>
      </c>
      <c r="C764" s="222" t="s">
        <v>348</v>
      </c>
      <c r="D764" s="223" t="s">
        <v>349</v>
      </c>
      <c r="E764" s="223" t="s">
        <v>350</v>
      </c>
      <c r="I764" s="219" t="s">
        <v>349</v>
      </c>
    </row>
    <row r="765" spans="1:9" ht="26.4">
      <c r="A765" s="224" t="s">
        <v>596</v>
      </c>
      <c r="B765" s="225" t="s">
        <v>597</v>
      </c>
      <c r="C765" s="226">
        <v>1.26</v>
      </c>
      <c r="D765" s="227">
        <v>0.08</v>
      </c>
      <c r="E765" s="228">
        <v>0.1</v>
      </c>
      <c r="I765" s="219">
        <v>0.08</v>
      </c>
    </row>
    <row r="766" spans="1:9" ht="26.4">
      <c r="A766" s="229" t="s">
        <v>598</v>
      </c>
      <c r="B766" s="230" t="s">
        <v>599</v>
      </c>
      <c r="C766" s="231">
        <v>1.26</v>
      </c>
      <c r="D766" s="232">
        <v>1.22</v>
      </c>
      <c r="E766" s="233">
        <v>1.53</v>
      </c>
      <c r="I766" s="219">
        <v>1.22</v>
      </c>
    </row>
    <row r="767" spans="1:9" ht="26.4">
      <c r="A767" s="229" t="s">
        <v>600</v>
      </c>
      <c r="B767" s="230" t="s">
        <v>601</v>
      </c>
      <c r="C767" s="231">
        <v>1.357</v>
      </c>
      <c r="D767" s="232">
        <v>14.55</v>
      </c>
      <c r="E767" s="233">
        <v>19.739999999999998</v>
      </c>
      <c r="I767" s="219">
        <v>14.55</v>
      </c>
    </row>
    <row r="768" spans="1:9" ht="26.4">
      <c r="A768" s="229" t="s">
        <v>592</v>
      </c>
      <c r="B768" s="230" t="s">
        <v>593</v>
      </c>
      <c r="C768" s="231">
        <v>5.3E-3</v>
      </c>
      <c r="D768" s="232">
        <v>12.76</v>
      </c>
      <c r="E768" s="233">
        <v>0.06</v>
      </c>
      <c r="I768" s="219">
        <v>12.76</v>
      </c>
    </row>
    <row r="769" spans="1:9" ht="26.4">
      <c r="A769" s="229" t="s">
        <v>594</v>
      </c>
      <c r="B769" s="230" t="s">
        <v>595</v>
      </c>
      <c r="C769" s="231">
        <v>7.3000000000000001E-3</v>
      </c>
      <c r="D769" s="232">
        <v>12.17</v>
      </c>
      <c r="E769" s="233">
        <v>0.08</v>
      </c>
      <c r="I769" s="219">
        <v>12.17</v>
      </c>
    </row>
    <row r="770" spans="1:9">
      <c r="A770" s="229"/>
      <c r="B770" s="230"/>
      <c r="C770" s="231"/>
      <c r="D770" s="232" t="s">
        <v>361</v>
      </c>
      <c r="E770" s="233">
        <v>21.509999999999994</v>
      </c>
      <c r="I770" s="219" t="s">
        <v>361</v>
      </c>
    </row>
    <row r="771" spans="1:9">
      <c r="A771" s="229" t="s">
        <v>364</v>
      </c>
      <c r="B771" s="230" t="s">
        <v>365</v>
      </c>
      <c r="C771" s="231">
        <v>0.16600000000000001</v>
      </c>
      <c r="D771" s="232">
        <v>10.1</v>
      </c>
      <c r="E771" s="233">
        <v>1.67</v>
      </c>
      <c r="I771" s="219">
        <v>10.1</v>
      </c>
    </row>
    <row r="772" spans="1:9">
      <c r="A772" s="229" t="s">
        <v>446</v>
      </c>
      <c r="B772" s="230" t="s">
        <v>447</v>
      </c>
      <c r="C772" s="231">
        <v>0.128</v>
      </c>
      <c r="D772" s="232">
        <v>13.13</v>
      </c>
      <c r="E772" s="233">
        <v>1.68</v>
      </c>
      <c r="I772" s="219">
        <v>13.13</v>
      </c>
    </row>
    <row r="773" spans="1:9">
      <c r="A773" s="229"/>
      <c r="B773" s="230"/>
      <c r="C773" s="231"/>
      <c r="D773" s="232" t="s">
        <v>366</v>
      </c>
      <c r="E773" s="233">
        <v>3.3499999999999996</v>
      </c>
      <c r="I773" s="219" t="s">
        <v>366</v>
      </c>
    </row>
    <row r="774" spans="1:9">
      <c r="A774" s="229"/>
      <c r="B774" s="230"/>
      <c r="C774" s="231"/>
      <c r="D774" s="232" t="s">
        <v>367</v>
      </c>
      <c r="E774" s="233">
        <v>24.859999999999992</v>
      </c>
      <c r="I774" s="219" t="s">
        <v>367</v>
      </c>
    </row>
    <row r="775" spans="1:9">
      <c r="A775" s="229"/>
      <c r="B775" s="230"/>
      <c r="C775" s="231"/>
      <c r="D775" s="232" t="s">
        <v>1045</v>
      </c>
      <c r="E775" s="233">
        <v>7.16</v>
      </c>
      <c r="I775" s="219" t="s">
        <v>1045</v>
      </c>
    </row>
    <row r="776" spans="1:9">
      <c r="A776" s="229"/>
      <c r="B776" s="230"/>
      <c r="C776" s="231"/>
      <c r="D776" s="234" t="s">
        <v>196</v>
      </c>
      <c r="E776" s="235">
        <v>32.019999999999996</v>
      </c>
      <c r="I776" s="219" t="s">
        <v>196</v>
      </c>
    </row>
    <row r="778" spans="1:9" ht="26.4">
      <c r="A778" s="214" t="s">
        <v>895</v>
      </c>
      <c r="B778" s="215" t="s">
        <v>209</v>
      </c>
      <c r="C778" s="216" t="s">
        <v>32</v>
      </c>
    </row>
    <row r="779" spans="1:9">
      <c r="A779" s="220"/>
      <c r="B779" s="221" t="s">
        <v>347</v>
      </c>
      <c r="C779" s="222" t="s">
        <v>348</v>
      </c>
      <c r="D779" s="223" t="s">
        <v>349</v>
      </c>
      <c r="E779" s="223" t="s">
        <v>350</v>
      </c>
      <c r="I779" s="219" t="s">
        <v>349</v>
      </c>
    </row>
    <row r="780" spans="1:9" ht="26.4">
      <c r="A780" s="224" t="s">
        <v>596</v>
      </c>
      <c r="B780" s="225" t="s">
        <v>597</v>
      </c>
      <c r="C780" s="226">
        <v>4.2</v>
      </c>
      <c r="D780" s="227">
        <v>0.08</v>
      </c>
      <c r="E780" s="228">
        <v>0.33</v>
      </c>
      <c r="I780" s="219">
        <v>0.08</v>
      </c>
    </row>
    <row r="781" spans="1:9" ht="26.4">
      <c r="A781" s="229" t="s">
        <v>598</v>
      </c>
      <c r="B781" s="230" t="s">
        <v>599</v>
      </c>
      <c r="C781" s="231">
        <v>4.2</v>
      </c>
      <c r="D781" s="232">
        <v>1.22</v>
      </c>
      <c r="E781" s="233">
        <v>5.12</v>
      </c>
      <c r="I781" s="219">
        <v>1.22</v>
      </c>
    </row>
    <row r="782" spans="1:9" ht="26.4">
      <c r="A782" s="229" t="s">
        <v>602</v>
      </c>
      <c r="B782" s="230" t="s">
        <v>603</v>
      </c>
      <c r="C782" s="231">
        <v>1.0289999999999999</v>
      </c>
      <c r="D782" s="232">
        <v>20.67</v>
      </c>
      <c r="E782" s="233">
        <v>21.26</v>
      </c>
      <c r="I782" s="219">
        <v>20.67</v>
      </c>
    </row>
    <row r="783" spans="1:9" ht="26.4">
      <c r="A783" s="229" t="s">
        <v>592</v>
      </c>
      <c r="B783" s="230" t="s">
        <v>593</v>
      </c>
      <c r="C783" s="231">
        <v>1.8E-3</v>
      </c>
      <c r="D783" s="232">
        <v>12.76</v>
      </c>
      <c r="E783" s="233">
        <v>0.02</v>
      </c>
      <c r="I783" s="219">
        <v>12.76</v>
      </c>
    </row>
    <row r="784" spans="1:9" ht="26.4">
      <c r="A784" s="229" t="s">
        <v>594</v>
      </c>
      <c r="B784" s="230" t="s">
        <v>595</v>
      </c>
      <c r="C784" s="231">
        <v>2.5999999999999999E-3</v>
      </c>
      <c r="D784" s="232">
        <v>12.17</v>
      </c>
      <c r="E784" s="233">
        <v>0.03</v>
      </c>
      <c r="I784" s="219">
        <v>12.17</v>
      </c>
    </row>
    <row r="785" spans="1:9">
      <c r="A785" s="229"/>
      <c r="B785" s="230"/>
      <c r="C785" s="231"/>
      <c r="D785" s="232" t="s">
        <v>361</v>
      </c>
      <c r="E785" s="233">
        <v>26.76</v>
      </c>
      <c r="I785" s="219" t="s">
        <v>361</v>
      </c>
    </row>
    <row r="786" spans="1:9">
      <c r="A786" s="229" t="s">
        <v>364</v>
      </c>
      <c r="B786" s="230" t="s">
        <v>365</v>
      </c>
      <c r="C786" s="231">
        <v>7.2999999999999995E-2</v>
      </c>
      <c r="D786" s="232">
        <v>10.1</v>
      </c>
      <c r="E786" s="233">
        <v>0.73</v>
      </c>
      <c r="I786" s="219">
        <v>10.1</v>
      </c>
    </row>
    <row r="787" spans="1:9">
      <c r="A787" s="229" t="s">
        <v>446</v>
      </c>
      <c r="B787" s="230" t="s">
        <v>447</v>
      </c>
      <c r="C787" s="231">
        <v>0.06</v>
      </c>
      <c r="D787" s="232">
        <v>13.13</v>
      </c>
      <c r="E787" s="233">
        <v>0.78</v>
      </c>
      <c r="I787" s="219">
        <v>13.13</v>
      </c>
    </row>
    <row r="788" spans="1:9">
      <c r="A788" s="229"/>
      <c r="B788" s="230"/>
      <c r="C788" s="231"/>
      <c r="D788" s="232" t="s">
        <v>366</v>
      </c>
      <c r="E788" s="233">
        <v>1.51</v>
      </c>
      <c r="I788" s="219" t="s">
        <v>366</v>
      </c>
    </row>
    <row r="789" spans="1:9">
      <c r="A789" s="229"/>
      <c r="B789" s="230"/>
      <c r="C789" s="231"/>
      <c r="D789" s="232" t="s">
        <v>367</v>
      </c>
      <c r="E789" s="233">
        <v>28.270000000000003</v>
      </c>
      <c r="I789" s="219" t="s">
        <v>367</v>
      </c>
    </row>
    <row r="790" spans="1:9">
      <c r="A790" s="229"/>
      <c r="B790" s="230"/>
      <c r="C790" s="231"/>
      <c r="D790" s="232" t="s">
        <v>1045</v>
      </c>
      <c r="E790" s="233">
        <v>8.14</v>
      </c>
      <c r="I790" s="219" t="s">
        <v>1045</v>
      </c>
    </row>
    <row r="791" spans="1:9">
      <c r="A791" s="229"/>
      <c r="B791" s="230"/>
      <c r="C791" s="231"/>
      <c r="D791" s="234" t="s">
        <v>196</v>
      </c>
      <c r="E791" s="235">
        <v>36.410000000000004</v>
      </c>
      <c r="I791" s="219" t="s">
        <v>196</v>
      </c>
    </row>
    <row r="793" spans="1:9" ht="39.6">
      <c r="A793" s="214" t="s">
        <v>896</v>
      </c>
      <c r="B793" s="215" t="s">
        <v>323</v>
      </c>
      <c r="C793" s="216" t="s">
        <v>32</v>
      </c>
    </row>
    <row r="794" spans="1:9">
      <c r="A794" s="220"/>
      <c r="B794" s="221" t="s">
        <v>347</v>
      </c>
      <c r="C794" s="222" t="s">
        <v>348</v>
      </c>
      <c r="D794" s="223" t="s">
        <v>349</v>
      </c>
      <c r="E794" s="223" t="s">
        <v>350</v>
      </c>
      <c r="I794" s="219" t="s">
        <v>349</v>
      </c>
    </row>
    <row r="795" spans="1:9" ht="26.4">
      <c r="A795" s="224" t="s">
        <v>604</v>
      </c>
      <c r="B795" s="225" t="s">
        <v>605</v>
      </c>
      <c r="C795" s="226">
        <v>0.161</v>
      </c>
      <c r="D795" s="227">
        <v>22.55</v>
      </c>
      <c r="E795" s="228">
        <v>3.63</v>
      </c>
      <c r="I795" s="219">
        <v>22.55</v>
      </c>
    </row>
    <row r="796" spans="1:9">
      <c r="A796" s="229" t="s">
        <v>511</v>
      </c>
      <c r="B796" s="230" t="s">
        <v>512</v>
      </c>
      <c r="C796" s="231">
        <v>2.5000000000000001E-2</v>
      </c>
      <c r="D796" s="232">
        <v>8.19</v>
      </c>
      <c r="E796" s="233">
        <v>0.2</v>
      </c>
      <c r="I796" s="219">
        <v>8.19</v>
      </c>
    </row>
    <row r="797" spans="1:9" ht="26.4">
      <c r="A797" s="229" t="s">
        <v>606</v>
      </c>
      <c r="B797" s="230" t="s">
        <v>607</v>
      </c>
      <c r="C797" s="231">
        <v>4.8999999999999998E-3</v>
      </c>
      <c r="D797" s="232">
        <v>45.5</v>
      </c>
      <c r="E797" s="233">
        <v>0.22</v>
      </c>
      <c r="I797" s="219">
        <v>45.5</v>
      </c>
    </row>
    <row r="798" spans="1:9">
      <c r="A798" s="229" t="s">
        <v>608</v>
      </c>
      <c r="B798" s="230" t="s">
        <v>609</v>
      </c>
      <c r="C798" s="231">
        <v>0.18</v>
      </c>
      <c r="D798" s="232">
        <v>58.93</v>
      </c>
      <c r="E798" s="233">
        <v>10.6</v>
      </c>
      <c r="I798" s="219">
        <v>58.93</v>
      </c>
    </row>
    <row r="799" spans="1:9" ht="26.4">
      <c r="A799" s="229" t="s">
        <v>610</v>
      </c>
      <c r="B799" s="230" t="s">
        <v>611</v>
      </c>
      <c r="C799" s="231">
        <v>1.05</v>
      </c>
      <c r="D799" s="232">
        <v>51.63</v>
      </c>
      <c r="E799" s="233">
        <v>54.21</v>
      </c>
      <c r="I799" s="219">
        <v>51.63</v>
      </c>
    </row>
    <row r="800" spans="1:9" ht="26.4">
      <c r="A800" s="229" t="s">
        <v>592</v>
      </c>
      <c r="B800" s="230" t="s">
        <v>593</v>
      </c>
      <c r="C800" s="231">
        <v>1.32E-2</v>
      </c>
      <c r="D800" s="232">
        <v>12.76</v>
      </c>
      <c r="E800" s="233">
        <v>0.16</v>
      </c>
      <c r="I800" s="219">
        <v>12.76</v>
      </c>
    </row>
    <row r="801" spans="1:9" ht="26.4">
      <c r="A801" s="229" t="s">
        <v>594</v>
      </c>
      <c r="B801" s="230" t="s">
        <v>595</v>
      </c>
      <c r="C801" s="231">
        <v>1.83E-2</v>
      </c>
      <c r="D801" s="232">
        <v>12.17</v>
      </c>
      <c r="E801" s="233">
        <v>0.22</v>
      </c>
      <c r="I801" s="219">
        <v>12.17</v>
      </c>
    </row>
    <row r="802" spans="1:9">
      <c r="A802" s="229"/>
      <c r="B802" s="230"/>
      <c r="C802" s="231"/>
      <c r="D802" s="232" t="s">
        <v>361</v>
      </c>
      <c r="E802" s="233">
        <v>69.239999999999995</v>
      </c>
      <c r="I802" s="219" t="s">
        <v>361</v>
      </c>
    </row>
    <row r="803" spans="1:9">
      <c r="A803" s="229" t="s">
        <v>364</v>
      </c>
      <c r="B803" s="230" t="s">
        <v>365</v>
      </c>
      <c r="C803" s="231">
        <v>0.63300000000000001</v>
      </c>
      <c r="D803" s="232">
        <v>10.1</v>
      </c>
      <c r="E803" s="233">
        <v>6.39</v>
      </c>
      <c r="I803" s="219">
        <v>10.1</v>
      </c>
    </row>
    <row r="804" spans="1:9">
      <c r="A804" s="229" t="s">
        <v>446</v>
      </c>
      <c r="B804" s="230" t="s">
        <v>447</v>
      </c>
      <c r="C804" s="231">
        <v>0.53900000000000003</v>
      </c>
      <c r="D804" s="232">
        <v>13.13</v>
      </c>
      <c r="E804" s="233">
        <v>7.07</v>
      </c>
      <c r="I804" s="219">
        <v>13.13</v>
      </c>
    </row>
    <row r="805" spans="1:9">
      <c r="A805" s="229"/>
      <c r="B805" s="230"/>
      <c r="C805" s="231"/>
      <c r="D805" s="232" t="s">
        <v>366</v>
      </c>
      <c r="E805" s="233">
        <v>13.46</v>
      </c>
      <c r="I805" s="219" t="s">
        <v>366</v>
      </c>
    </row>
    <row r="806" spans="1:9">
      <c r="A806" s="229"/>
      <c r="B806" s="230"/>
      <c r="C806" s="231"/>
      <c r="D806" s="232" t="s">
        <v>367</v>
      </c>
      <c r="E806" s="233">
        <v>82.699999999999989</v>
      </c>
      <c r="I806" s="219" t="s">
        <v>367</v>
      </c>
    </row>
    <row r="807" spans="1:9">
      <c r="A807" s="229"/>
      <c r="B807" s="230"/>
      <c r="C807" s="231"/>
      <c r="D807" s="232" t="s">
        <v>1045</v>
      </c>
      <c r="E807" s="233">
        <v>23.83</v>
      </c>
      <c r="I807" s="219" t="s">
        <v>1045</v>
      </c>
    </row>
    <row r="808" spans="1:9">
      <c r="A808" s="229"/>
      <c r="B808" s="230"/>
      <c r="C808" s="231"/>
      <c r="D808" s="234" t="s">
        <v>196</v>
      </c>
      <c r="E808" s="235">
        <v>106.52999999999999</v>
      </c>
      <c r="I808" s="219" t="s">
        <v>196</v>
      </c>
    </row>
    <row r="810" spans="1:9" ht="26.4">
      <c r="A810" s="214" t="s">
        <v>897</v>
      </c>
      <c r="B810" s="215" t="s">
        <v>324</v>
      </c>
      <c r="C810" s="216" t="s">
        <v>32</v>
      </c>
    </row>
    <row r="811" spans="1:9">
      <c r="A811" s="220"/>
      <c r="B811" s="221" t="s">
        <v>347</v>
      </c>
      <c r="C811" s="222" t="s">
        <v>348</v>
      </c>
      <c r="D811" s="223" t="s">
        <v>349</v>
      </c>
      <c r="E811" s="223" t="s">
        <v>350</v>
      </c>
      <c r="I811" s="219" t="s">
        <v>349</v>
      </c>
    </row>
    <row r="812" spans="1:9" ht="26.4">
      <c r="A812" s="224" t="s">
        <v>604</v>
      </c>
      <c r="B812" s="225" t="s">
        <v>605</v>
      </c>
      <c r="C812" s="226">
        <v>0.19800000000000001</v>
      </c>
      <c r="D812" s="227">
        <v>22.55</v>
      </c>
      <c r="E812" s="228">
        <v>4.46</v>
      </c>
      <c r="I812" s="219">
        <v>22.55</v>
      </c>
    </row>
    <row r="813" spans="1:9">
      <c r="A813" s="229" t="s">
        <v>511</v>
      </c>
      <c r="B813" s="230" t="s">
        <v>512</v>
      </c>
      <c r="C813" s="231">
        <v>6.0000000000000001E-3</v>
      </c>
      <c r="D813" s="232">
        <v>8.19</v>
      </c>
      <c r="E813" s="233">
        <v>0.04</v>
      </c>
      <c r="I813" s="219">
        <v>8.19</v>
      </c>
    </row>
    <row r="814" spans="1:9" ht="26.4">
      <c r="A814" s="229" t="s">
        <v>606</v>
      </c>
      <c r="B814" s="230" t="s">
        <v>607</v>
      </c>
      <c r="C814" s="231">
        <v>1.1999999999999999E-3</v>
      </c>
      <c r="D814" s="232">
        <v>45.5</v>
      </c>
      <c r="E814" s="233">
        <v>0.05</v>
      </c>
      <c r="I814" s="219">
        <v>45.5</v>
      </c>
    </row>
    <row r="815" spans="1:9">
      <c r="A815" s="229" t="s">
        <v>608</v>
      </c>
      <c r="B815" s="230" t="s">
        <v>609</v>
      </c>
      <c r="C815" s="231">
        <v>4.4999999999999998E-2</v>
      </c>
      <c r="D815" s="232">
        <v>58.93</v>
      </c>
      <c r="E815" s="233">
        <v>2.65</v>
      </c>
      <c r="I815" s="219">
        <v>58.93</v>
      </c>
    </row>
    <row r="816" spans="1:9" ht="26.4">
      <c r="A816" s="229" t="s">
        <v>612</v>
      </c>
      <c r="B816" s="230" t="s">
        <v>613</v>
      </c>
      <c r="C816" s="231">
        <v>1.05</v>
      </c>
      <c r="D816" s="232">
        <v>12.98</v>
      </c>
      <c r="E816" s="233">
        <v>13.62</v>
      </c>
      <c r="I816" s="219">
        <v>12.98</v>
      </c>
    </row>
    <row r="817" spans="1:9" ht="26.4">
      <c r="A817" s="229" t="s">
        <v>592</v>
      </c>
      <c r="B817" s="230" t="s">
        <v>593</v>
      </c>
      <c r="C817" s="231">
        <v>1.32E-2</v>
      </c>
      <c r="D817" s="232">
        <v>12.76</v>
      </c>
      <c r="E817" s="233">
        <v>0.16</v>
      </c>
      <c r="I817" s="219">
        <v>12.76</v>
      </c>
    </row>
    <row r="818" spans="1:9" ht="26.4">
      <c r="A818" s="229" t="s">
        <v>594</v>
      </c>
      <c r="B818" s="230" t="s">
        <v>595</v>
      </c>
      <c r="C818" s="231">
        <v>1.83E-2</v>
      </c>
      <c r="D818" s="232">
        <v>12.17</v>
      </c>
      <c r="E818" s="233">
        <v>0.22</v>
      </c>
      <c r="I818" s="219">
        <v>12.17</v>
      </c>
    </row>
    <row r="819" spans="1:9">
      <c r="A819" s="229"/>
      <c r="B819" s="230"/>
      <c r="C819" s="231"/>
      <c r="D819" s="232" t="s">
        <v>361</v>
      </c>
      <c r="E819" s="233">
        <v>21.2</v>
      </c>
      <c r="I819" s="219" t="s">
        <v>361</v>
      </c>
    </row>
    <row r="820" spans="1:9">
      <c r="A820" s="229" t="s">
        <v>364</v>
      </c>
      <c r="B820" s="230" t="s">
        <v>365</v>
      </c>
      <c r="C820" s="231">
        <v>0.20699999999999999</v>
      </c>
      <c r="D820" s="232">
        <v>10.1</v>
      </c>
      <c r="E820" s="233">
        <v>2.09</v>
      </c>
      <c r="I820" s="219">
        <v>10.1</v>
      </c>
    </row>
    <row r="821" spans="1:9">
      <c r="A821" s="229" t="s">
        <v>446</v>
      </c>
      <c r="B821" s="230" t="s">
        <v>447</v>
      </c>
      <c r="C821" s="231">
        <v>0.112</v>
      </c>
      <c r="D821" s="232">
        <v>13.13</v>
      </c>
      <c r="E821" s="233">
        <v>1.47</v>
      </c>
      <c r="I821" s="219">
        <v>13.13</v>
      </c>
    </row>
    <row r="822" spans="1:9">
      <c r="A822" s="229"/>
      <c r="B822" s="230"/>
      <c r="C822" s="231"/>
      <c r="D822" s="232" t="s">
        <v>366</v>
      </c>
      <c r="E822" s="233">
        <v>3.5599999999999996</v>
      </c>
      <c r="I822" s="219" t="s">
        <v>366</v>
      </c>
    </row>
    <row r="823" spans="1:9">
      <c r="A823" s="229"/>
      <c r="B823" s="230"/>
      <c r="C823" s="231"/>
      <c r="D823" s="232" t="s">
        <v>367</v>
      </c>
      <c r="E823" s="233">
        <v>24.759999999999998</v>
      </c>
      <c r="I823" s="219" t="s">
        <v>367</v>
      </c>
    </row>
    <row r="824" spans="1:9">
      <c r="A824" s="229"/>
      <c r="B824" s="230"/>
      <c r="C824" s="231"/>
      <c r="D824" s="232" t="s">
        <v>1045</v>
      </c>
      <c r="E824" s="233">
        <v>7.13</v>
      </c>
      <c r="I824" s="219" t="s">
        <v>1045</v>
      </c>
    </row>
    <row r="825" spans="1:9">
      <c r="A825" s="229"/>
      <c r="B825" s="230"/>
      <c r="C825" s="231"/>
      <c r="D825" s="234" t="s">
        <v>196</v>
      </c>
      <c r="E825" s="235">
        <v>31.889999999999997</v>
      </c>
      <c r="I825" s="219" t="s">
        <v>196</v>
      </c>
    </row>
    <row r="827" spans="1:9" ht="26.4">
      <c r="A827" s="214" t="s">
        <v>898</v>
      </c>
      <c r="B827" s="215" t="s">
        <v>169</v>
      </c>
      <c r="C827" s="216" t="s">
        <v>28</v>
      </c>
    </row>
    <row r="828" spans="1:9">
      <c r="A828" s="220"/>
      <c r="B828" s="221" t="s">
        <v>347</v>
      </c>
      <c r="C828" s="222" t="s">
        <v>348</v>
      </c>
      <c r="D828" s="223" t="s">
        <v>349</v>
      </c>
      <c r="E828" s="223" t="s">
        <v>350</v>
      </c>
      <c r="I828" s="219" t="s">
        <v>349</v>
      </c>
    </row>
    <row r="829" spans="1:9" ht="26.4">
      <c r="A829" s="224" t="s">
        <v>614</v>
      </c>
      <c r="B829" s="225" t="s">
        <v>615</v>
      </c>
      <c r="C829" s="226">
        <v>0.4</v>
      </c>
      <c r="D829" s="227">
        <v>5.2</v>
      </c>
      <c r="E829" s="228">
        <v>2.08</v>
      </c>
      <c r="I829" s="219">
        <v>5.2</v>
      </c>
    </row>
    <row r="830" spans="1:9">
      <c r="A830" s="229"/>
      <c r="B830" s="230"/>
      <c r="C830" s="231"/>
      <c r="D830" s="232" t="s">
        <v>361</v>
      </c>
      <c r="E830" s="233">
        <v>2.08</v>
      </c>
      <c r="I830" s="219" t="s">
        <v>361</v>
      </c>
    </row>
    <row r="831" spans="1:9">
      <c r="A831" s="229" t="s">
        <v>364</v>
      </c>
      <c r="B831" s="230" t="s">
        <v>365</v>
      </c>
      <c r="C831" s="231">
        <v>0.4</v>
      </c>
      <c r="D831" s="232">
        <v>10.1</v>
      </c>
      <c r="E831" s="233">
        <v>4.04</v>
      </c>
      <c r="I831" s="219">
        <v>10.1</v>
      </c>
    </row>
    <row r="832" spans="1:9">
      <c r="A832" s="229"/>
      <c r="B832" s="230"/>
      <c r="C832" s="231"/>
      <c r="D832" s="232" t="s">
        <v>366</v>
      </c>
      <c r="E832" s="233">
        <v>4.04</v>
      </c>
      <c r="I832" s="219" t="s">
        <v>366</v>
      </c>
    </row>
    <row r="833" spans="1:9">
      <c r="A833" s="229"/>
      <c r="B833" s="230"/>
      <c r="C833" s="231"/>
      <c r="D833" s="232" t="s">
        <v>367</v>
      </c>
      <c r="E833" s="233">
        <v>6.12</v>
      </c>
      <c r="I833" s="219" t="s">
        <v>367</v>
      </c>
    </row>
    <row r="834" spans="1:9">
      <c r="A834" s="229"/>
      <c r="B834" s="230"/>
      <c r="C834" s="231"/>
      <c r="D834" s="232" t="s">
        <v>1045</v>
      </c>
      <c r="E834" s="233">
        <v>1.76</v>
      </c>
      <c r="I834" s="219" t="s">
        <v>1045</v>
      </c>
    </row>
    <row r="835" spans="1:9">
      <c r="A835" s="229"/>
      <c r="B835" s="230"/>
      <c r="C835" s="231"/>
      <c r="D835" s="234" t="s">
        <v>196</v>
      </c>
      <c r="E835" s="235">
        <v>7.88</v>
      </c>
      <c r="I835" s="219" t="s">
        <v>196</v>
      </c>
    </row>
    <row r="837" spans="1:9" ht="26.4">
      <c r="A837" s="214" t="s">
        <v>899</v>
      </c>
      <c r="B837" s="215" t="s">
        <v>136</v>
      </c>
      <c r="C837" s="216" t="s">
        <v>28</v>
      </c>
    </row>
    <row r="838" spans="1:9">
      <c r="A838" s="220"/>
      <c r="B838" s="221" t="s">
        <v>347</v>
      </c>
      <c r="C838" s="222" t="s">
        <v>348</v>
      </c>
      <c r="D838" s="223" t="s">
        <v>349</v>
      </c>
      <c r="E838" s="223" t="s">
        <v>350</v>
      </c>
      <c r="I838" s="219" t="s">
        <v>349</v>
      </c>
    </row>
    <row r="839" spans="1:9" ht="39.6">
      <c r="A839" s="224" t="s">
        <v>616</v>
      </c>
      <c r="B839" s="225" t="s">
        <v>617</v>
      </c>
      <c r="C839" s="226">
        <v>4.1999999999999997E-3</v>
      </c>
      <c r="D839" s="227">
        <v>226.33</v>
      </c>
      <c r="E839" s="228">
        <v>0.95</v>
      </c>
      <c r="I839" s="219">
        <v>226.33</v>
      </c>
    </row>
    <row r="840" spans="1:9">
      <c r="A840" s="229"/>
      <c r="B840" s="230"/>
      <c r="C840" s="231"/>
      <c r="D840" s="232" t="s">
        <v>361</v>
      </c>
      <c r="E840" s="233">
        <v>0.95</v>
      </c>
      <c r="I840" s="219" t="s">
        <v>361</v>
      </c>
    </row>
    <row r="841" spans="1:9">
      <c r="A841" s="229" t="s">
        <v>440</v>
      </c>
      <c r="B841" s="230" t="s">
        <v>441</v>
      </c>
      <c r="C841" s="231">
        <v>7.0000000000000007E-2</v>
      </c>
      <c r="D841" s="232">
        <v>12.42</v>
      </c>
      <c r="E841" s="233">
        <v>0.86</v>
      </c>
      <c r="I841" s="219">
        <v>12.42</v>
      </c>
    </row>
    <row r="842" spans="1:9">
      <c r="A842" s="229" t="s">
        <v>364</v>
      </c>
      <c r="B842" s="230" t="s">
        <v>365</v>
      </c>
      <c r="C842" s="231">
        <v>7.0000000000000001E-3</v>
      </c>
      <c r="D842" s="232">
        <v>10.1</v>
      </c>
      <c r="E842" s="233">
        <v>7.0000000000000007E-2</v>
      </c>
      <c r="I842" s="219">
        <v>10.1</v>
      </c>
    </row>
    <row r="843" spans="1:9">
      <c r="A843" s="229"/>
      <c r="B843" s="230"/>
      <c r="C843" s="231"/>
      <c r="D843" s="232" t="s">
        <v>366</v>
      </c>
      <c r="E843" s="233">
        <v>0.92999999999999994</v>
      </c>
      <c r="I843" s="219" t="s">
        <v>366</v>
      </c>
    </row>
    <row r="844" spans="1:9">
      <c r="A844" s="229"/>
      <c r="B844" s="230"/>
      <c r="C844" s="231"/>
      <c r="D844" s="232" t="s">
        <v>367</v>
      </c>
      <c r="E844" s="233">
        <v>1.88</v>
      </c>
      <c r="I844" s="219" t="s">
        <v>367</v>
      </c>
    </row>
    <row r="845" spans="1:9">
      <c r="A845" s="229"/>
      <c r="B845" s="230"/>
      <c r="C845" s="231"/>
      <c r="D845" s="232" t="s">
        <v>1045</v>
      </c>
      <c r="E845" s="233">
        <v>0.54</v>
      </c>
      <c r="I845" s="219" t="s">
        <v>1045</v>
      </c>
    </row>
    <row r="846" spans="1:9">
      <c r="A846" s="229"/>
      <c r="B846" s="230"/>
      <c r="C846" s="231"/>
      <c r="D846" s="234" t="s">
        <v>196</v>
      </c>
      <c r="E846" s="235">
        <v>2.42</v>
      </c>
      <c r="I846" s="219" t="s">
        <v>196</v>
      </c>
    </row>
    <row r="848" spans="1:9" ht="26.4">
      <c r="A848" s="214" t="s">
        <v>900</v>
      </c>
      <c r="B848" s="215" t="s">
        <v>127</v>
      </c>
      <c r="C848" s="216" t="s">
        <v>28</v>
      </c>
    </row>
    <row r="849" spans="1:9">
      <c r="A849" s="220"/>
      <c r="B849" s="221" t="s">
        <v>347</v>
      </c>
      <c r="C849" s="222" t="s">
        <v>348</v>
      </c>
      <c r="D849" s="223" t="s">
        <v>349</v>
      </c>
      <c r="E849" s="223" t="s">
        <v>350</v>
      </c>
      <c r="I849" s="219" t="s">
        <v>349</v>
      </c>
    </row>
    <row r="850" spans="1:9" ht="39.6">
      <c r="A850" s="224" t="s">
        <v>618</v>
      </c>
      <c r="B850" s="225" t="s">
        <v>619</v>
      </c>
      <c r="C850" s="226">
        <v>1.5E-3</v>
      </c>
      <c r="D850" s="227">
        <v>1423.57</v>
      </c>
      <c r="E850" s="228">
        <v>2.13</v>
      </c>
      <c r="I850" s="219">
        <v>1423.57</v>
      </c>
    </row>
    <row r="851" spans="1:9">
      <c r="A851" s="229"/>
      <c r="B851" s="230"/>
      <c r="C851" s="231"/>
      <c r="D851" s="232" t="s">
        <v>361</v>
      </c>
      <c r="E851" s="233">
        <v>2.13</v>
      </c>
      <c r="I851" s="219" t="s">
        <v>361</v>
      </c>
    </row>
    <row r="852" spans="1:9">
      <c r="A852" s="229" t="s">
        <v>440</v>
      </c>
      <c r="B852" s="230" t="s">
        <v>441</v>
      </c>
      <c r="C852" s="231">
        <v>3.7999999999999999E-2</v>
      </c>
      <c r="D852" s="232">
        <v>12.42</v>
      </c>
      <c r="E852" s="233">
        <v>0.47</v>
      </c>
      <c r="I852" s="219">
        <v>12.42</v>
      </c>
    </row>
    <row r="853" spans="1:9">
      <c r="A853" s="229" t="s">
        <v>364</v>
      </c>
      <c r="B853" s="230" t="s">
        <v>365</v>
      </c>
      <c r="C853" s="231">
        <v>3.8E-3</v>
      </c>
      <c r="D853" s="232">
        <v>10.1</v>
      </c>
      <c r="E853" s="233">
        <v>0.03</v>
      </c>
      <c r="I853" s="219">
        <v>10.1</v>
      </c>
    </row>
    <row r="854" spans="1:9">
      <c r="A854" s="229"/>
      <c r="B854" s="230"/>
      <c r="C854" s="231"/>
      <c r="D854" s="232" t="s">
        <v>366</v>
      </c>
      <c r="E854" s="233">
        <v>0.5</v>
      </c>
      <c r="I854" s="219" t="s">
        <v>366</v>
      </c>
    </row>
    <row r="855" spans="1:9">
      <c r="A855" s="229"/>
      <c r="B855" s="230"/>
      <c r="C855" s="231"/>
      <c r="D855" s="232" t="s">
        <v>367</v>
      </c>
      <c r="E855" s="233">
        <v>2.63</v>
      </c>
      <c r="I855" s="219" t="s">
        <v>367</v>
      </c>
    </row>
    <row r="856" spans="1:9">
      <c r="A856" s="229"/>
      <c r="B856" s="230"/>
      <c r="C856" s="231"/>
      <c r="D856" s="232" t="s">
        <v>1045</v>
      </c>
      <c r="E856" s="233">
        <v>0.75</v>
      </c>
      <c r="I856" s="219" t="s">
        <v>1045</v>
      </c>
    </row>
    <row r="857" spans="1:9">
      <c r="A857" s="229"/>
      <c r="B857" s="230"/>
      <c r="C857" s="231"/>
      <c r="D857" s="234" t="s">
        <v>196</v>
      </c>
      <c r="E857" s="235">
        <v>3.38</v>
      </c>
      <c r="I857" s="219" t="s">
        <v>196</v>
      </c>
    </row>
    <row r="859" spans="1:9" ht="26.4">
      <c r="A859" s="214" t="s">
        <v>901</v>
      </c>
      <c r="B859" s="215" t="s">
        <v>344</v>
      </c>
      <c r="C859" s="216" t="s">
        <v>28</v>
      </c>
    </row>
    <row r="860" spans="1:9">
      <c r="A860" s="220"/>
      <c r="B860" s="221" t="s">
        <v>347</v>
      </c>
      <c r="C860" s="222" t="s">
        <v>348</v>
      </c>
      <c r="D860" s="223" t="s">
        <v>349</v>
      </c>
      <c r="E860" s="223" t="s">
        <v>350</v>
      </c>
      <c r="I860" s="219" t="s">
        <v>349</v>
      </c>
    </row>
    <row r="861" spans="1:9" ht="52.8">
      <c r="A861" s="224" t="s">
        <v>620</v>
      </c>
      <c r="B861" s="225" t="s">
        <v>621</v>
      </c>
      <c r="C861" s="226">
        <v>0.11210000000000001</v>
      </c>
      <c r="D861" s="227">
        <v>18.600000000000001</v>
      </c>
      <c r="E861" s="228">
        <v>2.08</v>
      </c>
      <c r="I861" s="219">
        <v>18.600000000000001</v>
      </c>
    </row>
    <row r="862" spans="1:9" ht="52.8">
      <c r="A862" s="229" t="s">
        <v>622</v>
      </c>
      <c r="B862" s="230" t="s">
        <v>623</v>
      </c>
      <c r="C862" s="231">
        <v>0.7339</v>
      </c>
      <c r="D862" s="232">
        <v>16.829999999999998</v>
      </c>
      <c r="E862" s="233">
        <v>12.35</v>
      </c>
      <c r="I862" s="219">
        <v>16.829999999999998</v>
      </c>
    </row>
    <row r="863" spans="1:9" ht="66">
      <c r="A863" s="229" t="s">
        <v>624</v>
      </c>
      <c r="B863" s="230" t="s">
        <v>625</v>
      </c>
      <c r="C863" s="231">
        <v>0.154</v>
      </c>
      <c r="D863" s="232">
        <v>16.2</v>
      </c>
      <c r="E863" s="233">
        <v>2.4900000000000002</v>
      </c>
      <c r="I863" s="219">
        <v>16.2</v>
      </c>
    </row>
    <row r="864" spans="1:9">
      <c r="A864" s="229"/>
      <c r="B864" s="230"/>
      <c r="C864" s="231"/>
      <c r="D864" s="232" t="s">
        <v>361</v>
      </c>
      <c r="E864" s="233">
        <v>16.920000000000002</v>
      </c>
      <c r="I864" s="219" t="s">
        <v>361</v>
      </c>
    </row>
    <row r="865" spans="1:9">
      <c r="A865" s="229"/>
      <c r="B865" s="230"/>
      <c r="C865" s="231"/>
      <c r="D865" s="232" t="s">
        <v>367</v>
      </c>
      <c r="E865" s="233">
        <v>16.920000000000002</v>
      </c>
      <c r="I865" s="219" t="s">
        <v>367</v>
      </c>
    </row>
    <row r="866" spans="1:9">
      <c r="A866" s="229"/>
      <c r="B866" s="230"/>
      <c r="C866" s="231"/>
      <c r="D866" s="232" t="s">
        <v>1045</v>
      </c>
      <c r="E866" s="233">
        <v>4.87</v>
      </c>
      <c r="I866" s="219" t="s">
        <v>1045</v>
      </c>
    </row>
    <row r="867" spans="1:9">
      <c r="A867" s="229"/>
      <c r="B867" s="230"/>
      <c r="C867" s="231"/>
      <c r="D867" s="234" t="s">
        <v>196</v>
      </c>
      <c r="E867" s="235">
        <v>21.790000000000003</v>
      </c>
      <c r="I867" s="219" t="s">
        <v>196</v>
      </c>
    </row>
    <row r="869" spans="1:9" ht="26.4">
      <c r="A869" s="214" t="s">
        <v>902</v>
      </c>
      <c r="B869" s="215" t="s">
        <v>343</v>
      </c>
      <c r="C869" s="216" t="s">
        <v>28</v>
      </c>
    </row>
    <row r="870" spans="1:9">
      <c r="A870" s="220"/>
      <c r="B870" s="221" t="s">
        <v>347</v>
      </c>
      <c r="C870" s="222" t="s">
        <v>348</v>
      </c>
      <c r="D870" s="223" t="s">
        <v>349</v>
      </c>
      <c r="E870" s="223" t="s">
        <v>350</v>
      </c>
      <c r="I870" s="219" t="s">
        <v>349</v>
      </c>
    </row>
    <row r="871" spans="1:9" ht="39.6">
      <c r="A871" s="224" t="s">
        <v>527</v>
      </c>
      <c r="B871" s="225" t="s">
        <v>528</v>
      </c>
      <c r="C871" s="226">
        <v>3.7600000000000001E-2</v>
      </c>
      <c r="D871" s="227">
        <v>246.71</v>
      </c>
      <c r="E871" s="228">
        <v>9.27</v>
      </c>
      <c r="I871" s="219">
        <v>246.71</v>
      </c>
    </row>
    <row r="872" spans="1:9">
      <c r="A872" s="229"/>
      <c r="B872" s="230"/>
      <c r="C872" s="231"/>
      <c r="D872" s="232" t="s">
        <v>361</v>
      </c>
      <c r="E872" s="233">
        <v>9.27</v>
      </c>
      <c r="I872" s="219" t="s">
        <v>361</v>
      </c>
    </row>
    <row r="873" spans="1:9">
      <c r="A873" s="229" t="s">
        <v>440</v>
      </c>
      <c r="B873" s="230" t="s">
        <v>441</v>
      </c>
      <c r="C873" s="231">
        <v>0.79</v>
      </c>
      <c r="D873" s="232">
        <v>12.42</v>
      </c>
      <c r="E873" s="233">
        <v>9.81</v>
      </c>
      <c r="I873" s="219">
        <v>12.42</v>
      </c>
    </row>
    <row r="874" spans="1:9">
      <c r="A874" s="229" t="s">
        <v>364</v>
      </c>
      <c r="B874" s="230" t="s">
        <v>365</v>
      </c>
      <c r="C874" s="231">
        <v>0.28899999999999998</v>
      </c>
      <c r="D874" s="232">
        <v>10.1</v>
      </c>
      <c r="E874" s="233">
        <v>2.91</v>
      </c>
      <c r="I874" s="219">
        <v>10.1</v>
      </c>
    </row>
    <row r="875" spans="1:9">
      <c r="A875" s="229"/>
      <c r="B875" s="230"/>
      <c r="C875" s="231"/>
      <c r="D875" s="232" t="s">
        <v>366</v>
      </c>
      <c r="E875" s="233">
        <v>12.72</v>
      </c>
      <c r="I875" s="219" t="s">
        <v>366</v>
      </c>
    </row>
    <row r="876" spans="1:9">
      <c r="A876" s="229"/>
      <c r="B876" s="230"/>
      <c r="C876" s="231"/>
      <c r="D876" s="232" t="s">
        <v>367</v>
      </c>
      <c r="E876" s="233">
        <v>21.990000000000002</v>
      </c>
      <c r="I876" s="219" t="s">
        <v>367</v>
      </c>
    </row>
    <row r="877" spans="1:9">
      <c r="A877" s="229"/>
      <c r="B877" s="230"/>
      <c r="C877" s="231"/>
      <c r="D877" s="232" t="s">
        <v>1045</v>
      </c>
      <c r="E877" s="233">
        <v>6.33</v>
      </c>
      <c r="I877" s="219" t="s">
        <v>1045</v>
      </c>
    </row>
    <row r="878" spans="1:9">
      <c r="A878" s="229"/>
      <c r="B878" s="230"/>
      <c r="C878" s="231"/>
      <c r="D878" s="234" t="s">
        <v>196</v>
      </c>
      <c r="E878" s="235">
        <v>28.32</v>
      </c>
      <c r="I878" s="219" t="s">
        <v>196</v>
      </c>
    </row>
    <row r="880" spans="1:9" ht="26.4">
      <c r="A880" s="214" t="s">
        <v>903</v>
      </c>
      <c r="B880" s="215" t="s">
        <v>167</v>
      </c>
      <c r="C880" s="216" t="s">
        <v>28</v>
      </c>
    </row>
    <row r="881" spans="1:9">
      <c r="A881" s="220"/>
      <c r="B881" s="221" t="s">
        <v>347</v>
      </c>
      <c r="C881" s="222" t="s">
        <v>348</v>
      </c>
      <c r="D881" s="223" t="s">
        <v>349</v>
      </c>
      <c r="E881" s="223" t="s">
        <v>350</v>
      </c>
      <c r="I881" s="219" t="s">
        <v>349</v>
      </c>
    </row>
    <row r="882" spans="1:9" ht="26.4">
      <c r="A882" s="224" t="s">
        <v>626</v>
      </c>
      <c r="B882" s="225" t="s">
        <v>627</v>
      </c>
      <c r="C882" s="226">
        <v>1.0900000000000001</v>
      </c>
      <c r="D882" s="227">
        <v>14.85</v>
      </c>
      <c r="E882" s="228">
        <v>16.18</v>
      </c>
      <c r="I882" s="219">
        <v>14.85</v>
      </c>
    </row>
    <row r="883" spans="1:9">
      <c r="A883" s="229" t="s">
        <v>628</v>
      </c>
      <c r="B883" s="230" t="s">
        <v>629</v>
      </c>
      <c r="C883" s="231">
        <v>6.14</v>
      </c>
      <c r="D883" s="232">
        <v>0.36</v>
      </c>
      <c r="E883" s="233">
        <v>2.21</v>
      </c>
      <c r="I883" s="219">
        <v>0.36</v>
      </c>
    </row>
    <row r="884" spans="1:9">
      <c r="A884" s="229" t="s">
        <v>630</v>
      </c>
      <c r="B884" s="230" t="s">
        <v>631</v>
      </c>
      <c r="C884" s="231">
        <v>0.22</v>
      </c>
      <c r="D884" s="232">
        <v>2.27</v>
      </c>
      <c r="E884" s="233">
        <v>0.49</v>
      </c>
      <c r="I884" s="219">
        <v>2.27</v>
      </c>
    </row>
    <row r="885" spans="1:9">
      <c r="A885" s="229"/>
      <c r="B885" s="230"/>
      <c r="C885" s="231"/>
      <c r="D885" s="232" t="s">
        <v>361</v>
      </c>
      <c r="E885" s="233">
        <v>18.88</v>
      </c>
      <c r="I885" s="219" t="s">
        <v>361</v>
      </c>
    </row>
    <row r="886" spans="1:9">
      <c r="A886" s="229" t="s">
        <v>444</v>
      </c>
      <c r="B886" s="230" t="s">
        <v>445</v>
      </c>
      <c r="C886" s="231">
        <v>0.91</v>
      </c>
      <c r="D886" s="232">
        <v>12.37</v>
      </c>
      <c r="E886" s="233">
        <v>11.25</v>
      </c>
      <c r="I886" s="219">
        <v>12.37</v>
      </c>
    </row>
    <row r="887" spans="1:9">
      <c r="A887" s="229" t="s">
        <v>364</v>
      </c>
      <c r="B887" s="230" t="s">
        <v>365</v>
      </c>
      <c r="C887" s="231">
        <v>0.46</v>
      </c>
      <c r="D887" s="232">
        <v>10.1</v>
      </c>
      <c r="E887" s="233">
        <v>4.6399999999999997</v>
      </c>
      <c r="I887" s="219">
        <v>10.1</v>
      </c>
    </row>
    <row r="888" spans="1:9">
      <c r="A888" s="229"/>
      <c r="B888" s="230"/>
      <c r="C888" s="231"/>
      <c r="D888" s="232" t="s">
        <v>366</v>
      </c>
      <c r="E888" s="233">
        <v>15.89</v>
      </c>
      <c r="I888" s="219" t="s">
        <v>366</v>
      </c>
    </row>
    <row r="889" spans="1:9">
      <c r="A889" s="229"/>
      <c r="B889" s="230"/>
      <c r="C889" s="231"/>
      <c r="D889" s="232" t="s">
        <v>367</v>
      </c>
      <c r="E889" s="233">
        <v>34.769999999999996</v>
      </c>
      <c r="I889" s="219" t="s">
        <v>367</v>
      </c>
    </row>
    <row r="890" spans="1:9">
      <c r="A890" s="229"/>
      <c r="B890" s="230"/>
      <c r="C890" s="231"/>
      <c r="D890" s="232" t="s">
        <v>1045</v>
      </c>
      <c r="E890" s="233">
        <v>10.02</v>
      </c>
      <c r="I890" s="219" t="s">
        <v>1045</v>
      </c>
    </row>
    <row r="891" spans="1:9">
      <c r="A891" s="229"/>
      <c r="B891" s="230"/>
      <c r="C891" s="231"/>
      <c r="D891" s="234" t="s">
        <v>196</v>
      </c>
      <c r="E891" s="235">
        <v>44.789999999999992</v>
      </c>
      <c r="I891" s="219" t="s">
        <v>196</v>
      </c>
    </row>
    <row r="893" spans="1:9" ht="26.4">
      <c r="A893" s="214" t="s">
        <v>904</v>
      </c>
      <c r="B893" s="215" t="s">
        <v>132</v>
      </c>
      <c r="C893" s="216" t="s">
        <v>28</v>
      </c>
    </row>
    <row r="894" spans="1:9">
      <c r="A894" s="220"/>
      <c r="B894" s="221" t="s">
        <v>347</v>
      </c>
      <c r="C894" s="222" t="s">
        <v>348</v>
      </c>
      <c r="D894" s="223" t="s">
        <v>349</v>
      </c>
      <c r="E894" s="223" t="s">
        <v>350</v>
      </c>
      <c r="I894" s="219" t="s">
        <v>349</v>
      </c>
    </row>
    <row r="895" spans="1:9" ht="39.6">
      <c r="A895" s="224" t="s">
        <v>632</v>
      </c>
      <c r="B895" s="225" t="s">
        <v>633</v>
      </c>
      <c r="C895" s="226">
        <v>6.0699999999999997E-2</v>
      </c>
      <c r="D895" s="227">
        <v>252.38</v>
      </c>
      <c r="E895" s="228">
        <v>15.31</v>
      </c>
      <c r="I895" s="219">
        <v>252.38</v>
      </c>
    </row>
    <row r="896" spans="1:9">
      <c r="A896" s="229"/>
      <c r="B896" s="230"/>
      <c r="C896" s="231"/>
      <c r="D896" s="232" t="s">
        <v>361</v>
      </c>
      <c r="E896" s="233">
        <v>15.31</v>
      </c>
      <c r="I896" s="219" t="s">
        <v>361</v>
      </c>
    </row>
    <row r="897" spans="1:9">
      <c r="A897" s="229" t="s">
        <v>440</v>
      </c>
      <c r="B897" s="230" t="s">
        <v>441</v>
      </c>
      <c r="C897" s="231">
        <v>0.35</v>
      </c>
      <c r="D897" s="232">
        <v>12.42</v>
      </c>
      <c r="E897" s="233">
        <v>4.34</v>
      </c>
      <c r="I897" s="219">
        <v>12.42</v>
      </c>
    </row>
    <row r="898" spans="1:9">
      <c r="A898" s="229" t="s">
        <v>364</v>
      </c>
      <c r="B898" s="230" t="s">
        <v>365</v>
      </c>
      <c r="C898" s="231">
        <v>0.17499999999999999</v>
      </c>
      <c r="D898" s="232">
        <v>10.1</v>
      </c>
      <c r="E898" s="233">
        <v>1.76</v>
      </c>
      <c r="I898" s="219">
        <v>10.1</v>
      </c>
    </row>
    <row r="899" spans="1:9">
      <c r="A899" s="229"/>
      <c r="B899" s="230"/>
      <c r="C899" s="231"/>
      <c r="D899" s="232" t="s">
        <v>366</v>
      </c>
      <c r="E899" s="233">
        <v>6.1</v>
      </c>
      <c r="I899" s="219" t="s">
        <v>366</v>
      </c>
    </row>
    <row r="900" spans="1:9">
      <c r="A900" s="229"/>
      <c r="B900" s="230"/>
      <c r="C900" s="231"/>
      <c r="D900" s="232" t="s">
        <v>367</v>
      </c>
      <c r="E900" s="233">
        <v>21.41</v>
      </c>
      <c r="I900" s="219" t="s">
        <v>367</v>
      </c>
    </row>
    <row r="901" spans="1:9">
      <c r="A901" s="229"/>
      <c r="B901" s="230"/>
      <c r="C901" s="231"/>
      <c r="D901" s="232" t="s">
        <v>1045</v>
      </c>
      <c r="E901" s="233">
        <v>6.17</v>
      </c>
      <c r="I901" s="219" t="s">
        <v>1045</v>
      </c>
    </row>
    <row r="902" spans="1:9">
      <c r="A902" s="229"/>
      <c r="B902" s="230"/>
      <c r="C902" s="231"/>
      <c r="D902" s="234" t="s">
        <v>196</v>
      </c>
      <c r="E902" s="235">
        <v>27.58</v>
      </c>
      <c r="I902" s="219" t="s">
        <v>196</v>
      </c>
    </row>
    <row r="904" spans="1:9" ht="39.6">
      <c r="A904" s="214" t="s">
        <v>905</v>
      </c>
      <c r="B904" s="215" t="s">
        <v>327</v>
      </c>
      <c r="C904" s="216" t="s">
        <v>28</v>
      </c>
    </row>
    <row r="905" spans="1:9">
      <c r="A905" s="220"/>
      <c r="B905" s="221" t="s">
        <v>347</v>
      </c>
      <c r="C905" s="222" t="s">
        <v>348</v>
      </c>
      <c r="D905" s="223" t="s">
        <v>349</v>
      </c>
      <c r="E905" s="223" t="s">
        <v>350</v>
      </c>
      <c r="I905" s="219" t="s">
        <v>349</v>
      </c>
    </row>
    <row r="906" spans="1:9" ht="26.4">
      <c r="A906" s="224" t="s">
        <v>634</v>
      </c>
      <c r="B906" s="225" t="s">
        <v>635</v>
      </c>
      <c r="C906" s="226">
        <v>1.07</v>
      </c>
      <c r="D906" s="227">
        <v>24.13</v>
      </c>
      <c r="E906" s="228">
        <v>25.81</v>
      </c>
      <c r="I906" s="219">
        <v>24.13</v>
      </c>
    </row>
    <row r="907" spans="1:9">
      <c r="A907" s="229" t="s">
        <v>628</v>
      </c>
      <c r="B907" s="230" t="s">
        <v>629</v>
      </c>
      <c r="C907" s="231">
        <v>8.6199999999999992</v>
      </c>
      <c r="D907" s="232">
        <v>0.36</v>
      </c>
      <c r="E907" s="233">
        <v>3.1</v>
      </c>
      <c r="I907" s="219">
        <v>0.36</v>
      </c>
    </row>
    <row r="908" spans="1:9">
      <c r="A908" s="229" t="s">
        <v>630</v>
      </c>
      <c r="B908" s="230" t="s">
        <v>631</v>
      </c>
      <c r="C908" s="231">
        <v>0.14000000000000001</v>
      </c>
      <c r="D908" s="232">
        <v>2.27</v>
      </c>
      <c r="E908" s="233">
        <v>0.31</v>
      </c>
      <c r="I908" s="219">
        <v>2.27</v>
      </c>
    </row>
    <row r="909" spans="1:9">
      <c r="A909" s="229"/>
      <c r="B909" s="230"/>
      <c r="C909" s="231"/>
      <c r="D909" s="232" t="s">
        <v>361</v>
      </c>
      <c r="E909" s="233">
        <v>29.22</v>
      </c>
      <c r="I909" s="219" t="s">
        <v>361</v>
      </c>
    </row>
    <row r="910" spans="1:9">
      <c r="A910" s="229" t="s">
        <v>444</v>
      </c>
      <c r="B910" s="230" t="s">
        <v>445</v>
      </c>
      <c r="C910" s="231">
        <v>0.31</v>
      </c>
      <c r="D910" s="232">
        <v>12.37</v>
      </c>
      <c r="E910" s="233">
        <v>3.83</v>
      </c>
      <c r="I910" s="219">
        <v>12.37</v>
      </c>
    </row>
    <row r="911" spans="1:9">
      <c r="A911" s="229" t="s">
        <v>364</v>
      </c>
      <c r="B911" s="230" t="s">
        <v>365</v>
      </c>
      <c r="C911" s="231">
        <v>0.17</v>
      </c>
      <c r="D911" s="232">
        <v>10.1</v>
      </c>
      <c r="E911" s="233">
        <v>1.71</v>
      </c>
      <c r="I911" s="219">
        <v>10.1</v>
      </c>
    </row>
    <row r="912" spans="1:9">
      <c r="A912" s="229"/>
      <c r="B912" s="230"/>
      <c r="C912" s="231"/>
      <c r="D912" s="232" t="s">
        <v>366</v>
      </c>
      <c r="E912" s="233">
        <v>5.54</v>
      </c>
      <c r="I912" s="219" t="s">
        <v>366</v>
      </c>
    </row>
    <row r="913" spans="1:9">
      <c r="A913" s="229"/>
      <c r="B913" s="230"/>
      <c r="C913" s="231"/>
      <c r="D913" s="232" t="s">
        <v>367</v>
      </c>
      <c r="E913" s="233">
        <v>34.76</v>
      </c>
      <c r="I913" s="219" t="s">
        <v>367</v>
      </c>
    </row>
    <row r="914" spans="1:9">
      <c r="A914" s="229"/>
      <c r="B914" s="230"/>
      <c r="C914" s="231"/>
      <c r="D914" s="232" t="s">
        <v>1045</v>
      </c>
      <c r="E914" s="233">
        <v>10.01</v>
      </c>
      <c r="I914" s="219" t="s">
        <v>1045</v>
      </c>
    </row>
    <row r="915" spans="1:9">
      <c r="A915" s="229"/>
      <c r="B915" s="230"/>
      <c r="C915" s="231"/>
      <c r="D915" s="234" t="s">
        <v>196</v>
      </c>
      <c r="E915" s="235">
        <v>44.769999999999996</v>
      </c>
      <c r="I915" s="219" t="s">
        <v>196</v>
      </c>
    </row>
    <row r="917" spans="1:9" ht="39.6">
      <c r="A917" s="214" t="s">
        <v>906</v>
      </c>
      <c r="B917" s="215" t="s">
        <v>331</v>
      </c>
      <c r="C917" s="216" t="s">
        <v>28</v>
      </c>
    </row>
    <row r="918" spans="1:9">
      <c r="A918" s="220"/>
      <c r="B918" s="221" t="s">
        <v>347</v>
      </c>
      <c r="C918" s="222" t="s">
        <v>348</v>
      </c>
      <c r="D918" s="223" t="s">
        <v>349</v>
      </c>
      <c r="E918" s="223" t="s">
        <v>350</v>
      </c>
      <c r="I918" s="219" t="s">
        <v>349</v>
      </c>
    </row>
    <row r="919" spans="1:9" ht="26.4">
      <c r="A919" s="224" t="s">
        <v>634</v>
      </c>
      <c r="B919" s="225" t="s">
        <v>635</v>
      </c>
      <c r="C919" s="226">
        <v>1.07</v>
      </c>
      <c r="D919" s="227">
        <v>24.13</v>
      </c>
      <c r="E919" s="228">
        <v>25.81</v>
      </c>
      <c r="I919" s="219">
        <v>24.13</v>
      </c>
    </row>
    <row r="920" spans="1:9">
      <c r="A920" s="229" t="s">
        <v>628</v>
      </c>
      <c r="B920" s="230" t="s">
        <v>629</v>
      </c>
      <c r="C920" s="231">
        <v>8.6199999999999992</v>
      </c>
      <c r="D920" s="232">
        <v>0.36</v>
      </c>
      <c r="E920" s="233">
        <v>3.1</v>
      </c>
      <c r="I920" s="219">
        <v>0.36</v>
      </c>
    </row>
    <row r="921" spans="1:9">
      <c r="A921" s="229" t="s">
        <v>630</v>
      </c>
      <c r="B921" s="230" t="s">
        <v>631</v>
      </c>
      <c r="C921" s="231">
        <v>0.14000000000000001</v>
      </c>
      <c r="D921" s="232">
        <v>2.27</v>
      </c>
      <c r="E921" s="233">
        <v>0.31</v>
      </c>
      <c r="I921" s="219">
        <v>2.27</v>
      </c>
    </row>
    <row r="922" spans="1:9">
      <c r="A922" s="229"/>
      <c r="B922" s="230"/>
      <c r="C922" s="231"/>
      <c r="D922" s="232" t="s">
        <v>361</v>
      </c>
      <c r="E922" s="233">
        <v>29.22</v>
      </c>
      <c r="I922" s="219" t="s">
        <v>361</v>
      </c>
    </row>
    <row r="923" spans="1:9">
      <c r="A923" s="229" t="s">
        <v>444</v>
      </c>
      <c r="B923" s="230" t="s">
        <v>445</v>
      </c>
      <c r="C923" s="231">
        <v>0.31</v>
      </c>
      <c r="D923" s="232">
        <v>12.37</v>
      </c>
      <c r="E923" s="233">
        <v>3.83</v>
      </c>
      <c r="I923" s="219">
        <v>12.37</v>
      </c>
    </row>
    <row r="924" spans="1:9">
      <c r="A924" s="229" t="s">
        <v>364</v>
      </c>
      <c r="B924" s="230" t="s">
        <v>365</v>
      </c>
      <c r="C924" s="231">
        <v>0.17</v>
      </c>
      <c r="D924" s="232">
        <v>10.1</v>
      </c>
      <c r="E924" s="233">
        <v>1.71</v>
      </c>
      <c r="I924" s="219">
        <v>10.1</v>
      </c>
    </row>
    <row r="925" spans="1:9">
      <c r="A925" s="229"/>
      <c r="B925" s="230"/>
      <c r="C925" s="231"/>
      <c r="D925" s="232" t="s">
        <v>366</v>
      </c>
      <c r="E925" s="233">
        <v>5.54</v>
      </c>
      <c r="I925" s="219" t="s">
        <v>366</v>
      </c>
    </row>
    <row r="926" spans="1:9">
      <c r="A926" s="229"/>
      <c r="B926" s="230"/>
      <c r="C926" s="231"/>
      <c r="D926" s="232" t="s">
        <v>367</v>
      </c>
      <c r="E926" s="233">
        <v>34.76</v>
      </c>
      <c r="I926" s="219" t="s">
        <v>367</v>
      </c>
    </row>
    <row r="927" spans="1:9">
      <c r="A927" s="229"/>
      <c r="B927" s="230"/>
      <c r="C927" s="231"/>
      <c r="D927" s="232" t="s">
        <v>1045</v>
      </c>
      <c r="E927" s="233">
        <v>10.01</v>
      </c>
      <c r="I927" s="219" t="s">
        <v>1045</v>
      </c>
    </row>
    <row r="928" spans="1:9">
      <c r="A928" s="229"/>
      <c r="B928" s="230"/>
      <c r="C928" s="231"/>
      <c r="D928" s="234" t="s">
        <v>196</v>
      </c>
      <c r="E928" s="235">
        <v>44.769999999999996</v>
      </c>
      <c r="I928" s="219" t="s">
        <v>196</v>
      </c>
    </row>
    <row r="930" spans="1:9" ht="26.4">
      <c r="A930" s="214" t="s">
        <v>907</v>
      </c>
      <c r="B930" s="215" t="s">
        <v>116</v>
      </c>
      <c r="C930" s="216" t="s">
        <v>26</v>
      </c>
    </row>
    <row r="931" spans="1:9">
      <c r="A931" s="220"/>
      <c r="B931" s="221" t="s">
        <v>347</v>
      </c>
      <c r="C931" s="222" t="s">
        <v>348</v>
      </c>
      <c r="D931" s="223" t="s">
        <v>349</v>
      </c>
      <c r="E931" s="223" t="s">
        <v>350</v>
      </c>
      <c r="I931" s="219" t="s">
        <v>349</v>
      </c>
    </row>
    <row r="932" spans="1:9" ht="26.4">
      <c r="A932" s="224" t="s">
        <v>636</v>
      </c>
      <c r="B932" s="225" t="s">
        <v>637</v>
      </c>
      <c r="C932" s="226">
        <v>2.5</v>
      </c>
      <c r="D932" s="227">
        <v>4.49</v>
      </c>
      <c r="E932" s="228">
        <v>11.22</v>
      </c>
      <c r="I932" s="219">
        <v>4.49</v>
      </c>
    </row>
    <row r="933" spans="1:9" ht="26.4">
      <c r="A933" s="229" t="s">
        <v>638</v>
      </c>
      <c r="B933" s="230" t="s">
        <v>639</v>
      </c>
      <c r="C933" s="231">
        <v>2</v>
      </c>
      <c r="D933" s="232">
        <v>0.8</v>
      </c>
      <c r="E933" s="233">
        <v>1.6</v>
      </c>
      <c r="I933" s="219">
        <v>0.8</v>
      </c>
    </row>
    <row r="934" spans="1:9" ht="26.4">
      <c r="A934" s="229" t="s">
        <v>640</v>
      </c>
      <c r="B934" s="230" t="s">
        <v>641</v>
      </c>
      <c r="C934" s="231">
        <v>1.2130000000000001</v>
      </c>
      <c r="D934" s="232">
        <v>199.76</v>
      </c>
      <c r="E934" s="233">
        <v>242.3</v>
      </c>
      <c r="I934" s="219">
        <v>199.76</v>
      </c>
    </row>
    <row r="935" spans="1:9">
      <c r="A935" s="229"/>
      <c r="B935" s="230"/>
      <c r="C935" s="231"/>
      <c r="D935" s="232" t="s">
        <v>361</v>
      </c>
      <c r="E935" s="233">
        <v>255.12</v>
      </c>
      <c r="I935" s="219" t="s">
        <v>361</v>
      </c>
    </row>
    <row r="936" spans="1:9">
      <c r="A936" s="229" t="s">
        <v>362</v>
      </c>
      <c r="B936" s="230" t="s">
        <v>363</v>
      </c>
      <c r="C936" s="231">
        <v>2.2559999999999998</v>
      </c>
      <c r="D936" s="232">
        <v>12.32</v>
      </c>
      <c r="E936" s="233">
        <v>27.79</v>
      </c>
      <c r="I936" s="219">
        <v>12.32</v>
      </c>
    </row>
    <row r="937" spans="1:9">
      <c r="A937" s="229" t="s">
        <v>440</v>
      </c>
      <c r="B937" s="230" t="s">
        <v>441</v>
      </c>
      <c r="C937" s="231">
        <v>1.9830000000000001</v>
      </c>
      <c r="D937" s="232">
        <v>12.42</v>
      </c>
      <c r="E937" s="233">
        <v>24.62</v>
      </c>
      <c r="I937" s="219">
        <v>12.42</v>
      </c>
    </row>
    <row r="938" spans="1:9">
      <c r="A938" s="229" t="s">
        <v>364</v>
      </c>
      <c r="B938" s="230" t="s">
        <v>365</v>
      </c>
      <c r="C938" s="231">
        <v>4.2389999999999999</v>
      </c>
      <c r="D938" s="232">
        <v>10.1</v>
      </c>
      <c r="E938" s="233">
        <v>42.81</v>
      </c>
      <c r="I938" s="219">
        <v>10.1</v>
      </c>
    </row>
    <row r="939" spans="1:9">
      <c r="A939" s="229"/>
      <c r="B939" s="230"/>
      <c r="C939" s="231"/>
      <c r="D939" s="232" t="s">
        <v>366</v>
      </c>
      <c r="E939" s="233">
        <v>95.22</v>
      </c>
      <c r="I939" s="219" t="s">
        <v>366</v>
      </c>
    </row>
    <row r="940" spans="1:9">
      <c r="A940" s="229"/>
      <c r="B940" s="230"/>
      <c r="C940" s="231"/>
      <c r="D940" s="232" t="s">
        <v>367</v>
      </c>
      <c r="E940" s="233">
        <v>350.34000000000003</v>
      </c>
      <c r="I940" s="219" t="s">
        <v>367</v>
      </c>
    </row>
    <row r="941" spans="1:9">
      <c r="A941" s="229"/>
      <c r="B941" s="230"/>
      <c r="C941" s="231"/>
      <c r="D941" s="232" t="s">
        <v>1045</v>
      </c>
      <c r="E941" s="233">
        <v>100.96</v>
      </c>
      <c r="I941" s="219" t="s">
        <v>1045</v>
      </c>
    </row>
    <row r="942" spans="1:9">
      <c r="A942" s="229"/>
      <c r="B942" s="230"/>
      <c r="C942" s="231"/>
      <c r="D942" s="234" t="s">
        <v>196</v>
      </c>
      <c r="E942" s="235">
        <v>451.3</v>
      </c>
      <c r="I942" s="219" t="s">
        <v>196</v>
      </c>
    </row>
    <row r="944" spans="1:9" ht="26.4">
      <c r="A944" s="214" t="s">
        <v>908</v>
      </c>
      <c r="B944" s="215" t="s">
        <v>148</v>
      </c>
      <c r="C944" s="216" t="s">
        <v>28</v>
      </c>
    </row>
    <row r="945" spans="1:9">
      <c r="A945" s="220"/>
      <c r="B945" s="221" t="s">
        <v>347</v>
      </c>
      <c r="C945" s="222" t="s">
        <v>348</v>
      </c>
      <c r="D945" s="223" t="s">
        <v>349</v>
      </c>
      <c r="E945" s="223" t="s">
        <v>350</v>
      </c>
      <c r="I945" s="219" t="s">
        <v>349</v>
      </c>
    </row>
    <row r="946" spans="1:9">
      <c r="A946" s="224" t="s">
        <v>642</v>
      </c>
      <c r="B946" s="225" t="s">
        <v>643</v>
      </c>
      <c r="C946" s="226">
        <v>0.33</v>
      </c>
      <c r="D946" s="227">
        <v>11.5</v>
      </c>
      <c r="E946" s="228">
        <v>3.79</v>
      </c>
      <c r="I946" s="219">
        <v>11.5</v>
      </c>
    </row>
    <row r="947" spans="1:9">
      <c r="A947" s="229"/>
      <c r="B947" s="230"/>
      <c r="C947" s="231"/>
      <c r="D947" s="232" t="s">
        <v>361</v>
      </c>
      <c r="E947" s="233">
        <v>3.79</v>
      </c>
      <c r="I947" s="219" t="s">
        <v>361</v>
      </c>
    </row>
    <row r="948" spans="1:9">
      <c r="A948" s="229" t="s">
        <v>644</v>
      </c>
      <c r="B948" s="230" t="s">
        <v>645</v>
      </c>
      <c r="C948" s="231">
        <v>0.17</v>
      </c>
      <c r="D948" s="232">
        <v>13.21</v>
      </c>
      <c r="E948" s="233">
        <v>2.2400000000000002</v>
      </c>
      <c r="I948" s="219">
        <v>13.21</v>
      </c>
    </row>
    <row r="949" spans="1:9">
      <c r="A949" s="229" t="s">
        <v>364</v>
      </c>
      <c r="B949" s="230" t="s">
        <v>365</v>
      </c>
      <c r="C949" s="231">
        <v>6.2E-2</v>
      </c>
      <c r="D949" s="232">
        <v>10.1</v>
      </c>
      <c r="E949" s="233">
        <v>0.62</v>
      </c>
      <c r="I949" s="219">
        <v>10.1</v>
      </c>
    </row>
    <row r="950" spans="1:9">
      <c r="A950" s="229"/>
      <c r="B950" s="230"/>
      <c r="C950" s="231"/>
      <c r="D950" s="232" t="s">
        <v>366</v>
      </c>
      <c r="E950" s="233">
        <v>2.8600000000000003</v>
      </c>
      <c r="I950" s="219" t="s">
        <v>366</v>
      </c>
    </row>
    <row r="951" spans="1:9">
      <c r="A951" s="229"/>
      <c r="B951" s="230"/>
      <c r="C951" s="231"/>
      <c r="D951" s="232" t="s">
        <v>367</v>
      </c>
      <c r="E951" s="233">
        <v>6.65</v>
      </c>
      <c r="I951" s="219" t="s">
        <v>367</v>
      </c>
    </row>
    <row r="952" spans="1:9">
      <c r="A952" s="229"/>
      <c r="B952" s="230"/>
      <c r="C952" s="231"/>
      <c r="D952" s="232" t="s">
        <v>1045</v>
      </c>
      <c r="E952" s="233">
        <v>1.91</v>
      </c>
      <c r="I952" s="219" t="s">
        <v>1045</v>
      </c>
    </row>
    <row r="953" spans="1:9">
      <c r="A953" s="229"/>
      <c r="B953" s="230"/>
      <c r="C953" s="231"/>
      <c r="D953" s="234" t="s">
        <v>196</v>
      </c>
      <c r="E953" s="235">
        <v>8.56</v>
      </c>
      <c r="I953" s="219" t="s">
        <v>196</v>
      </c>
    </row>
    <row r="955" spans="1:9" ht="26.4">
      <c r="A955" s="214" t="s">
        <v>909</v>
      </c>
      <c r="B955" s="215" t="s">
        <v>149</v>
      </c>
      <c r="C955" s="216" t="s">
        <v>28</v>
      </c>
    </row>
    <row r="956" spans="1:9">
      <c r="A956" s="220"/>
      <c r="B956" s="221" t="s">
        <v>347</v>
      </c>
      <c r="C956" s="222" t="s">
        <v>348</v>
      </c>
      <c r="D956" s="223" t="s">
        <v>349</v>
      </c>
      <c r="E956" s="223" t="s">
        <v>350</v>
      </c>
      <c r="I956" s="219" t="s">
        <v>349</v>
      </c>
    </row>
    <row r="957" spans="1:9">
      <c r="A957" s="224" t="s">
        <v>420</v>
      </c>
      <c r="B957" s="225" t="s">
        <v>421</v>
      </c>
      <c r="C957" s="226">
        <v>0.33</v>
      </c>
      <c r="D957" s="227">
        <v>13.31</v>
      </c>
      <c r="E957" s="228">
        <v>4.3899999999999997</v>
      </c>
      <c r="I957" s="219">
        <v>13.31</v>
      </c>
    </row>
    <row r="958" spans="1:9">
      <c r="A958" s="229"/>
      <c r="B958" s="230"/>
      <c r="C958" s="231"/>
      <c r="D958" s="232" t="s">
        <v>361</v>
      </c>
      <c r="E958" s="233">
        <v>4.3899999999999997</v>
      </c>
      <c r="I958" s="219" t="s">
        <v>361</v>
      </c>
    </row>
    <row r="959" spans="1:9">
      <c r="A959" s="229" t="s">
        <v>644</v>
      </c>
      <c r="B959" s="230" t="s">
        <v>645</v>
      </c>
      <c r="C959" s="231">
        <v>0.187</v>
      </c>
      <c r="D959" s="232">
        <v>13.21</v>
      </c>
      <c r="E959" s="233">
        <v>2.4700000000000002</v>
      </c>
      <c r="I959" s="219">
        <v>13.21</v>
      </c>
    </row>
    <row r="960" spans="1:9">
      <c r="A960" s="229" t="s">
        <v>364</v>
      </c>
      <c r="B960" s="230" t="s">
        <v>365</v>
      </c>
      <c r="C960" s="231">
        <v>6.9000000000000006E-2</v>
      </c>
      <c r="D960" s="232">
        <v>10.1</v>
      </c>
      <c r="E960" s="233">
        <v>0.69</v>
      </c>
      <c r="I960" s="219">
        <v>10.1</v>
      </c>
    </row>
    <row r="961" spans="1:9">
      <c r="A961" s="229"/>
      <c r="B961" s="230"/>
      <c r="C961" s="231"/>
      <c r="D961" s="232" t="s">
        <v>366</v>
      </c>
      <c r="E961" s="233">
        <v>3.16</v>
      </c>
      <c r="I961" s="219" t="s">
        <v>366</v>
      </c>
    </row>
    <row r="962" spans="1:9">
      <c r="A962" s="229"/>
      <c r="B962" s="230"/>
      <c r="C962" s="231"/>
      <c r="D962" s="232" t="s">
        <v>367</v>
      </c>
      <c r="E962" s="233">
        <v>7.55</v>
      </c>
      <c r="I962" s="219" t="s">
        <v>367</v>
      </c>
    </row>
    <row r="963" spans="1:9">
      <c r="A963" s="229"/>
      <c r="B963" s="230"/>
      <c r="C963" s="231"/>
      <c r="D963" s="232" t="s">
        <v>1045</v>
      </c>
      <c r="E963" s="233">
        <v>2.17</v>
      </c>
      <c r="I963" s="219" t="s">
        <v>1045</v>
      </c>
    </row>
    <row r="964" spans="1:9">
      <c r="A964" s="229"/>
      <c r="B964" s="230"/>
      <c r="C964" s="231"/>
      <c r="D964" s="234" t="s">
        <v>196</v>
      </c>
      <c r="E964" s="235">
        <v>9.7199999999999989</v>
      </c>
      <c r="I964" s="219" t="s">
        <v>196</v>
      </c>
    </row>
    <row r="966" spans="1:9" ht="26.4">
      <c r="A966" s="214" t="s">
        <v>910</v>
      </c>
      <c r="B966" s="215" t="s">
        <v>150</v>
      </c>
      <c r="C966" s="216" t="s">
        <v>28</v>
      </c>
    </row>
    <row r="967" spans="1:9">
      <c r="A967" s="220"/>
      <c r="B967" s="221" t="s">
        <v>347</v>
      </c>
      <c r="C967" s="222" t="s">
        <v>348</v>
      </c>
      <c r="D967" s="223" t="s">
        <v>349</v>
      </c>
      <c r="E967" s="223" t="s">
        <v>350</v>
      </c>
      <c r="I967" s="219" t="s">
        <v>349</v>
      </c>
    </row>
    <row r="968" spans="1:9" ht="26.4">
      <c r="A968" s="224" t="s">
        <v>646</v>
      </c>
      <c r="B968" s="225" t="s">
        <v>647</v>
      </c>
      <c r="C968" s="226">
        <v>0.4</v>
      </c>
      <c r="D968" s="227">
        <v>0.55000000000000004</v>
      </c>
      <c r="E968" s="228">
        <v>0.22</v>
      </c>
      <c r="I968" s="219">
        <v>0.55000000000000004</v>
      </c>
    </row>
    <row r="969" spans="1:9">
      <c r="A969" s="229" t="s">
        <v>648</v>
      </c>
      <c r="B969" s="230" t="s">
        <v>649</v>
      </c>
      <c r="C969" s="231">
        <v>0.04</v>
      </c>
      <c r="D969" s="232">
        <v>7.84</v>
      </c>
      <c r="E969" s="233">
        <v>0.31</v>
      </c>
      <c r="I969" s="219">
        <v>7.84</v>
      </c>
    </row>
    <row r="970" spans="1:9">
      <c r="A970" s="229" t="s">
        <v>650</v>
      </c>
      <c r="B970" s="230" t="s">
        <v>651</v>
      </c>
      <c r="C970" s="231">
        <v>5.6000000000000001E-2</v>
      </c>
      <c r="D970" s="232">
        <v>61.88</v>
      </c>
      <c r="E970" s="233">
        <v>3.46</v>
      </c>
      <c r="I970" s="219">
        <v>61.88</v>
      </c>
    </row>
    <row r="971" spans="1:9">
      <c r="A971" s="229" t="s">
        <v>652</v>
      </c>
      <c r="B971" s="230" t="s">
        <v>653</v>
      </c>
      <c r="C971" s="231">
        <v>0.16</v>
      </c>
      <c r="D971" s="232">
        <v>16.3</v>
      </c>
      <c r="E971" s="233">
        <v>2.6</v>
      </c>
      <c r="I971" s="219">
        <v>16.3</v>
      </c>
    </row>
    <row r="972" spans="1:9">
      <c r="A972" s="229"/>
      <c r="B972" s="230"/>
      <c r="C972" s="231"/>
      <c r="D972" s="232" t="s">
        <v>361</v>
      </c>
      <c r="E972" s="233">
        <v>6.59</v>
      </c>
      <c r="I972" s="219" t="s">
        <v>361</v>
      </c>
    </row>
    <row r="973" spans="1:9">
      <c r="A973" s="229" t="s">
        <v>644</v>
      </c>
      <c r="B973" s="230" t="s">
        <v>645</v>
      </c>
      <c r="C973" s="231">
        <v>0.4</v>
      </c>
      <c r="D973" s="232">
        <v>13.21</v>
      </c>
      <c r="E973" s="233">
        <v>5.28</v>
      </c>
      <c r="I973" s="219">
        <v>13.21</v>
      </c>
    </row>
    <row r="974" spans="1:9">
      <c r="A974" s="229" t="s">
        <v>364</v>
      </c>
      <c r="B974" s="230" t="s">
        <v>365</v>
      </c>
      <c r="C974" s="231">
        <v>0.35</v>
      </c>
      <c r="D974" s="232">
        <v>10.1</v>
      </c>
      <c r="E974" s="233">
        <v>3.53</v>
      </c>
      <c r="I974" s="219">
        <v>10.1</v>
      </c>
    </row>
    <row r="975" spans="1:9">
      <c r="A975" s="229"/>
      <c r="B975" s="230"/>
      <c r="C975" s="231"/>
      <c r="D975" s="232" t="s">
        <v>366</v>
      </c>
      <c r="E975" s="233">
        <v>8.81</v>
      </c>
      <c r="I975" s="219" t="s">
        <v>366</v>
      </c>
    </row>
    <row r="976" spans="1:9">
      <c r="A976" s="229"/>
      <c r="B976" s="230"/>
      <c r="C976" s="231"/>
      <c r="D976" s="232" t="s">
        <v>367</v>
      </c>
      <c r="E976" s="233">
        <v>15.4</v>
      </c>
      <c r="I976" s="219" t="s">
        <v>367</v>
      </c>
    </row>
    <row r="977" spans="1:9">
      <c r="A977" s="229"/>
      <c r="B977" s="230"/>
      <c r="C977" s="231"/>
      <c r="D977" s="232" t="s">
        <v>1045</v>
      </c>
      <c r="E977" s="233">
        <v>4.43</v>
      </c>
      <c r="I977" s="219" t="s">
        <v>1045</v>
      </c>
    </row>
    <row r="978" spans="1:9">
      <c r="A978" s="229"/>
      <c r="B978" s="230"/>
      <c r="C978" s="231"/>
      <c r="D978" s="234" t="s">
        <v>196</v>
      </c>
      <c r="E978" s="235">
        <v>19.829999999999998</v>
      </c>
      <c r="I978" s="219" t="s">
        <v>196</v>
      </c>
    </row>
    <row r="980" spans="1:9" ht="26.4">
      <c r="A980" s="214" t="s">
        <v>911</v>
      </c>
      <c r="B980" s="215" t="s">
        <v>328</v>
      </c>
      <c r="C980" s="216" t="s">
        <v>28</v>
      </c>
    </row>
    <row r="981" spans="1:9">
      <c r="A981" s="220"/>
      <c r="B981" s="221" t="s">
        <v>347</v>
      </c>
      <c r="C981" s="222" t="s">
        <v>348</v>
      </c>
      <c r="D981" s="223" t="s">
        <v>349</v>
      </c>
      <c r="E981" s="223" t="s">
        <v>350</v>
      </c>
      <c r="I981" s="219" t="s">
        <v>349</v>
      </c>
    </row>
    <row r="982" spans="1:9" ht="26.4">
      <c r="A982" s="224" t="s">
        <v>646</v>
      </c>
      <c r="B982" s="225" t="s">
        <v>647</v>
      </c>
      <c r="C982" s="226">
        <v>0.06</v>
      </c>
      <c r="D982" s="227">
        <v>0.55000000000000004</v>
      </c>
      <c r="E982" s="228">
        <v>0.03</v>
      </c>
      <c r="I982" s="219">
        <v>0.55000000000000004</v>
      </c>
    </row>
    <row r="983" spans="1:9">
      <c r="A983" s="229" t="s">
        <v>654</v>
      </c>
      <c r="B983" s="230" t="s">
        <v>655</v>
      </c>
      <c r="C983" s="231">
        <v>0.16400000000000001</v>
      </c>
      <c r="D983" s="232">
        <v>25.08</v>
      </c>
      <c r="E983" s="233">
        <v>4.1100000000000003</v>
      </c>
      <c r="I983" s="219">
        <v>25.08</v>
      </c>
    </row>
    <row r="984" spans="1:9">
      <c r="A984" s="229"/>
      <c r="B984" s="230"/>
      <c r="C984" s="231"/>
      <c r="D984" s="232" t="s">
        <v>361</v>
      </c>
      <c r="E984" s="233">
        <v>4.1400000000000006</v>
      </c>
      <c r="I984" s="219" t="s">
        <v>361</v>
      </c>
    </row>
    <row r="985" spans="1:9">
      <c r="A985" s="229" t="s">
        <v>644</v>
      </c>
      <c r="B985" s="230" t="s">
        <v>645</v>
      </c>
      <c r="C985" s="231">
        <v>0.38600000000000001</v>
      </c>
      <c r="D985" s="232">
        <v>13.21</v>
      </c>
      <c r="E985" s="233">
        <v>5.09</v>
      </c>
      <c r="I985" s="219">
        <v>13.21</v>
      </c>
    </row>
    <row r="986" spans="1:9">
      <c r="A986" s="229" t="s">
        <v>364</v>
      </c>
      <c r="B986" s="230" t="s">
        <v>365</v>
      </c>
      <c r="C986" s="231">
        <v>9.7000000000000003E-2</v>
      </c>
      <c r="D986" s="232">
        <v>10.1</v>
      </c>
      <c r="E986" s="233">
        <v>0.97</v>
      </c>
      <c r="I986" s="219">
        <v>10.1</v>
      </c>
    </row>
    <row r="987" spans="1:9">
      <c r="A987" s="229"/>
      <c r="B987" s="230"/>
      <c r="C987" s="231"/>
      <c r="D987" s="232" t="s">
        <v>366</v>
      </c>
      <c r="E987" s="233">
        <v>6.06</v>
      </c>
      <c r="I987" s="219" t="s">
        <v>366</v>
      </c>
    </row>
    <row r="988" spans="1:9">
      <c r="A988" s="229"/>
      <c r="B988" s="230"/>
      <c r="C988" s="231"/>
      <c r="D988" s="232" t="s">
        <v>367</v>
      </c>
      <c r="E988" s="233">
        <v>10.199999999999999</v>
      </c>
      <c r="I988" s="219" t="s">
        <v>367</v>
      </c>
    </row>
    <row r="989" spans="1:9">
      <c r="A989" s="229"/>
      <c r="B989" s="230"/>
      <c r="C989" s="231"/>
      <c r="D989" s="232" t="s">
        <v>1045</v>
      </c>
      <c r="E989" s="233">
        <v>2.93</v>
      </c>
      <c r="I989" s="219" t="s">
        <v>1045</v>
      </c>
    </row>
    <row r="990" spans="1:9">
      <c r="A990" s="229"/>
      <c r="B990" s="230"/>
      <c r="C990" s="231"/>
      <c r="D990" s="234" t="s">
        <v>196</v>
      </c>
      <c r="E990" s="235">
        <v>13.129999999999999</v>
      </c>
      <c r="I990" s="219" t="s">
        <v>196</v>
      </c>
    </row>
    <row r="992" spans="1:9" ht="26.4">
      <c r="A992" s="214" t="s">
        <v>912</v>
      </c>
      <c r="B992" s="215" t="s">
        <v>330</v>
      </c>
      <c r="C992" s="216" t="s">
        <v>28</v>
      </c>
    </row>
    <row r="993" spans="1:9">
      <c r="A993" s="220"/>
      <c r="B993" s="221" t="s">
        <v>347</v>
      </c>
      <c r="C993" s="222" t="s">
        <v>348</v>
      </c>
      <c r="D993" s="223" t="s">
        <v>349</v>
      </c>
      <c r="E993" s="223" t="s">
        <v>350</v>
      </c>
      <c r="I993" s="219" t="s">
        <v>349</v>
      </c>
    </row>
    <row r="994" spans="1:9">
      <c r="A994" s="224" t="s">
        <v>656</v>
      </c>
      <c r="B994" s="225" t="s">
        <v>657</v>
      </c>
      <c r="C994" s="226">
        <v>1.1399999999999999</v>
      </c>
      <c r="D994" s="227">
        <v>4.0999999999999996</v>
      </c>
      <c r="E994" s="228">
        <v>4.67</v>
      </c>
      <c r="I994" s="219">
        <v>4.0999999999999996</v>
      </c>
    </row>
    <row r="995" spans="1:9">
      <c r="A995" s="229"/>
      <c r="B995" s="230"/>
      <c r="C995" s="231"/>
      <c r="D995" s="232" t="s">
        <v>361</v>
      </c>
      <c r="E995" s="233">
        <v>4.67</v>
      </c>
      <c r="I995" s="219" t="s">
        <v>361</v>
      </c>
    </row>
    <row r="996" spans="1:9">
      <c r="A996" s="229" t="s">
        <v>644</v>
      </c>
      <c r="B996" s="230" t="s">
        <v>645</v>
      </c>
      <c r="C996" s="231">
        <v>0.188</v>
      </c>
      <c r="D996" s="232">
        <v>13.21</v>
      </c>
      <c r="E996" s="233">
        <v>2.48</v>
      </c>
      <c r="I996" s="219">
        <v>13.21</v>
      </c>
    </row>
    <row r="997" spans="1:9">
      <c r="A997" s="229" t="s">
        <v>364</v>
      </c>
      <c r="B997" s="230" t="s">
        <v>365</v>
      </c>
      <c r="C997" s="231">
        <v>6.9000000000000006E-2</v>
      </c>
      <c r="D997" s="232">
        <v>10.1</v>
      </c>
      <c r="E997" s="233">
        <v>0.69</v>
      </c>
      <c r="I997" s="219">
        <v>10.1</v>
      </c>
    </row>
    <row r="998" spans="1:9">
      <c r="A998" s="229"/>
      <c r="B998" s="230"/>
      <c r="C998" s="231"/>
      <c r="D998" s="232" t="s">
        <v>366</v>
      </c>
      <c r="E998" s="233">
        <v>3.17</v>
      </c>
      <c r="I998" s="219" t="s">
        <v>366</v>
      </c>
    </row>
    <row r="999" spans="1:9">
      <c r="A999" s="229"/>
      <c r="B999" s="230"/>
      <c r="C999" s="231"/>
      <c r="D999" s="232" t="s">
        <v>367</v>
      </c>
      <c r="E999" s="233">
        <v>7.84</v>
      </c>
      <c r="I999" s="219" t="s">
        <v>367</v>
      </c>
    </row>
    <row r="1000" spans="1:9">
      <c r="A1000" s="229"/>
      <c r="B1000" s="230"/>
      <c r="C1000" s="231"/>
      <c r="D1000" s="232" t="s">
        <v>1045</v>
      </c>
      <c r="E1000" s="233">
        <v>2.25</v>
      </c>
      <c r="I1000" s="219" t="s">
        <v>1045</v>
      </c>
    </row>
    <row r="1001" spans="1:9">
      <c r="A1001" s="229"/>
      <c r="B1001" s="230"/>
      <c r="C1001" s="231"/>
      <c r="D1001" s="234" t="s">
        <v>196</v>
      </c>
      <c r="E1001" s="235">
        <v>10.09</v>
      </c>
      <c r="I1001" s="219" t="s">
        <v>196</v>
      </c>
    </row>
    <row r="1003" spans="1:9" ht="26.4">
      <c r="A1003" s="214" t="s">
        <v>913</v>
      </c>
      <c r="B1003" s="215" t="s">
        <v>133</v>
      </c>
      <c r="C1003" s="216" t="s">
        <v>32</v>
      </c>
    </row>
    <row r="1004" spans="1:9">
      <c r="A1004" s="220"/>
      <c r="B1004" s="221" t="s">
        <v>347</v>
      </c>
      <c r="C1004" s="222" t="s">
        <v>348</v>
      </c>
      <c r="D1004" s="223" t="s">
        <v>349</v>
      </c>
      <c r="E1004" s="223" t="s">
        <v>350</v>
      </c>
      <c r="I1004" s="219" t="s">
        <v>349</v>
      </c>
    </row>
    <row r="1005" spans="1:9">
      <c r="A1005" s="224" t="s">
        <v>658</v>
      </c>
      <c r="B1005" s="225" t="s">
        <v>659</v>
      </c>
      <c r="C1005" s="226">
        <v>1.0609999999999999</v>
      </c>
      <c r="D1005" s="227">
        <v>1.9</v>
      </c>
      <c r="E1005" s="228">
        <v>2.0099999999999998</v>
      </c>
      <c r="I1005" s="219">
        <v>1.9</v>
      </c>
    </row>
    <row r="1006" spans="1:9">
      <c r="A1006" s="229"/>
      <c r="B1006" s="230"/>
      <c r="C1006" s="231"/>
      <c r="D1006" s="232" t="s">
        <v>361</v>
      </c>
      <c r="E1006" s="233">
        <v>2.0099999999999998</v>
      </c>
      <c r="I1006" s="219" t="s">
        <v>361</v>
      </c>
    </row>
    <row r="1007" spans="1:9" ht="26.4">
      <c r="A1007" s="229" t="s">
        <v>660</v>
      </c>
      <c r="B1007" s="230" t="s">
        <v>661</v>
      </c>
      <c r="C1007" s="231">
        <v>1.6E-2</v>
      </c>
      <c r="D1007" s="232">
        <v>9.52</v>
      </c>
      <c r="E1007" s="233">
        <v>0.15</v>
      </c>
      <c r="I1007" s="219">
        <v>9.52</v>
      </c>
    </row>
    <row r="1008" spans="1:9">
      <c r="A1008" s="229" t="s">
        <v>662</v>
      </c>
      <c r="B1008" s="230" t="s">
        <v>663</v>
      </c>
      <c r="C1008" s="231">
        <v>1.6E-2</v>
      </c>
      <c r="D1008" s="232">
        <v>12.12</v>
      </c>
      <c r="E1008" s="233">
        <v>0.19</v>
      </c>
      <c r="I1008" s="219">
        <v>12.12</v>
      </c>
    </row>
    <row r="1009" spans="1:9">
      <c r="A1009" s="229"/>
      <c r="B1009" s="230"/>
      <c r="C1009" s="231"/>
      <c r="D1009" s="232" t="s">
        <v>366</v>
      </c>
      <c r="E1009" s="233">
        <v>0.33999999999999997</v>
      </c>
      <c r="I1009" s="219" t="s">
        <v>366</v>
      </c>
    </row>
    <row r="1010" spans="1:9">
      <c r="A1010" s="229"/>
      <c r="B1010" s="230"/>
      <c r="C1010" s="231"/>
      <c r="D1010" s="232" t="s">
        <v>367</v>
      </c>
      <c r="E1010" s="233">
        <v>2.3499999999999996</v>
      </c>
      <c r="I1010" s="219" t="s">
        <v>367</v>
      </c>
    </row>
    <row r="1011" spans="1:9">
      <c r="A1011" s="229"/>
      <c r="B1011" s="230"/>
      <c r="C1011" s="231"/>
      <c r="D1011" s="232" t="s">
        <v>1045</v>
      </c>
      <c r="E1011" s="233">
        <v>0.67</v>
      </c>
      <c r="I1011" s="219" t="s">
        <v>1045</v>
      </c>
    </row>
    <row r="1012" spans="1:9">
      <c r="A1012" s="229"/>
      <c r="B1012" s="230"/>
      <c r="C1012" s="231"/>
      <c r="D1012" s="234" t="s">
        <v>196</v>
      </c>
      <c r="E1012" s="235">
        <v>3.0199999999999996</v>
      </c>
      <c r="I1012" s="219" t="s">
        <v>196</v>
      </c>
    </row>
    <row r="1014" spans="1:9" ht="26.4">
      <c r="A1014" s="214" t="s">
        <v>914</v>
      </c>
      <c r="B1014" s="215" t="s">
        <v>143</v>
      </c>
      <c r="C1014" s="216" t="s">
        <v>32</v>
      </c>
    </row>
    <row r="1015" spans="1:9">
      <c r="A1015" s="220"/>
      <c r="B1015" s="221" t="s">
        <v>347</v>
      </c>
      <c r="C1015" s="222" t="s">
        <v>348</v>
      </c>
      <c r="D1015" s="223" t="s">
        <v>349</v>
      </c>
      <c r="E1015" s="223" t="s">
        <v>350</v>
      </c>
      <c r="I1015" s="219" t="s">
        <v>349</v>
      </c>
    </row>
    <row r="1016" spans="1:9">
      <c r="A1016" s="224" t="s">
        <v>664</v>
      </c>
      <c r="B1016" s="225" t="s">
        <v>665</v>
      </c>
      <c r="C1016" s="226">
        <v>1.0609999999999999</v>
      </c>
      <c r="D1016" s="227">
        <v>6.22</v>
      </c>
      <c r="E1016" s="228">
        <v>6.59</v>
      </c>
      <c r="I1016" s="219">
        <v>6.22</v>
      </c>
    </row>
    <row r="1017" spans="1:9">
      <c r="A1017" s="229" t="s">
        <v>666</v>
      </c>
      <c r="B1017" s="230" t="s">
        <v>667</v>
      </c>
      <c r="C1017" s="231">
        <v>8.0000000000000002E-3</v>
      </c>
      <c r="D1017" s="232">
        <v>1.39</v>
      </c>
      <c r="E1017" s="233">
        <v>0.01</v>
      </c>
      <c r="I1017" s="219">
        <v>1.39</v>
      </c>
    </row>
    <row r="1018" spans="1:9">
      <c r="A1018" s="229"/>
      <c r="B1018" s="230"/>
      <c r="C1018" s="231"/>
      <c r="D1018" s="232" t="s">
        <v>361</v>
      </c>
      <c r="E1018" s="233">
        <v>6.6</v>
      </c>
      <c r="I1018" s="219" t="s">
        <v>361</v>
      </c>
    </row>
    <row r="1019" spans="1:9" ht="26.4">
      <c r="A1019" s="229" t="s">
        <v>660</v>
      </c>
      <c r="B1019" s="230" t="s">
        <v>661</v>
      </c>
      <c r="C1019" s="231">
        <v>2.4E-2</v>
      </c>
      <c r="D1019" s="232">
        <v>9.52</v>
      </c>
      <c r="E1019" s="233">
        <v>0.22</v>
      </c>
      <c r="I1019" s="219">
        <v>9.52</v>
      </c>
    </row>
    <row r="1020" spans="1:9">
      <c r="A1020" s="229" t="s">
        <v>662</v>
      </c>
      <c r="B1020" s="230" t="s">
        <v>663</v>
      </c>
      <c r="C1020" s="231">
        <v>2.4E-2</v>
      </c>
      <c r="D1020" s="232">
        <v>12.12</v>
      </c>
      <c r="E1020" s="233">
        <v>0.28999999999999998</v>
      </c>
      <c r="I1020" s="219">
        <v>12.12</v>
      </c>
    </row>
    <row r="1021" spans="1:9">
      <c r="A1021" s="229"/>
      <c r="B1021" s="230"/>
      <c r="C1021" s="231"/>
      <c r="D1021" s="232" t="s">
        <v>366</v>
      </c>
      <c r="E1021" s="233">
        <v>0.51</v>
      </c>
      <c r="I1021" s="219" t="s">
        <v>366</v>
      </c>
    </row>
    <row r="1022" spans="1:9">
      <c r="A1022" s="229"/>
      <c r="B1022" s="230"/>
      <c r="C1022" s="231"/>
      <c r="D1022" s="232" t="s">
        <v>367</v>
      </c>
      <c r="E1022" s="233">
        <v>7.1099999999999994</v>
      </c>
      <c r="I1022" s="219" t="s">
        <v>367</v>
      </c>
    </row>
    <row r="1023" spans="1:9">
      <c r="A1023" s="229"/>
      <c r="B1023" s="230"/>
      <c r="C1023" s="231"/>
      <c r="D1023" s="232" t="s">
        <v>1045</v>
      </c>
      <c r="E1023" s="233">
        <v>2.04</v>
      </c>
      <c r="I1023" s="219" t="s">
        <v>1045</v>
      </c>
    </row>
    <row r="1024" spans="1:9">
      <c r="A1024" s="229"/>
      <c r="B1024" s="230"/>
      <c r="C1024" s="231"/>
      <c r="D1024" s="234" t="s">
        <v>196</v>
      </c>
      <c r="E1024" s="235">
        <v>9.1499999999999986</v>
      </c>
      <c r="I1024" s="219" t="s">
        <v>196</v>
      </c>
    </row>
    <row r="1026" spans="1:9" ht="26.4">
      <c r="A1026" s="214" t="s">
        <v>915</v>
      </c>
      <c r="B1026" s="215" t="s">
        <v>117</v>
      </c>
      <c r="C1026" s="216" t="s">
        <v>23</v>
      </c>
    </row>
    <row r="1027" spans="1:9">
      <c r="A1027" s="220"/>
      <c r="B1027" s="221" t="s">
        <v>347</v>
      </c>
      <c r="C1027" s="222" t="s">
        <v>348</v>
      </c>
      <c r="D1027" s="223" t="s">
        <v>349</v>
      </c>
      <c r="E1027" s="223" t="s">
        <v>350</v>
      </c>
      <c r="I1027" s="219" t="s">
        <v>349</v>
      </c>
    </row>
    <row r="1028" spans="1:9">
      <c r="A1028" s="224" t="s">
        <v>668</v>
      </c>
      <c r="B1028" s="225" t="s">
        <v>669</v>
      </c>
      <c r="C1028" s="226">
        <v>7.0000000000000001E-3</v>
      </c>
      <c r="D1028" s="227">
        <v>35.39</v>
      </c>
      <c r="E1028" s="228">
        <v>0.24</v>
      </c>
      <c r="I1028" s="219">
        <v>35.39</v>
      </c>
    </row>
    <row r="1029" spans="1:9">
      <c r="A1029" s="229" t="s">
        <v>670</v>
      </c>
      <c r="B1029" s="230" t="s">
        <v>671</v>
      </c>
      <c r="C1029" s="231">
        <v>1</v>
      </c>
      <c r="D1029" s="232">
        <v>0.76</v>
      </c>
      <c r="E1029" s="233">
        <v>0.76</v>
      </c>
      <c r="I1029" s="219">
        <v>0.76</v>
      </c>
    </row>
    <row r="1030" spans="1:9">
      <c r="A1030" s="229" t="s">
        <v>672</v>
      </c>
      <c r="B1030" s="230" t="s">
        <v>673</v>
      </c>
      <c r="C1030" s="231">
        <v>8.0000000000000002E-3</v>
      </c>
      <c r="D1030" s="232">
        <v>30.73</v>
      </c>
      <c r="E1030" s="233">
        <v>0.24</v>
      </c>
      <c r="I1030" s="219">
        <v>30.73</v>
      </c>
    </row>
    <row r="1031" spans="1:9">
      <c r="A1031" s="229" t="s">
        <v>666</v>
      </c>
      <c r="B1031" s="230" t="s">
        <v>667</v>
      </c>
      <c r="C1031" s="231">
        <v>1.2999999999999999E-2</v>
      </c>
      <c r="D1031" s="232">
        <v>1.39</v>
      </c>
      <c r="E1031" s="233">
        <v>0.01</v>
      </c>
      <c r="I1031" s="219">
        <v>1.39</v>
      </c>
    </row>
    <row r="1032" spans="1:9">
      <c r="A1032" s="229"/>
      <c r="B1032" s="230"/>
      <c r="C1032" s="231"/>
      <c r="D1032" s="232" t="s">
        <v>361</v>
      </c>
      <c r="E1032" s="233">
        <v>1.25</v>
      </c>
      <c r="I1032" s="219" t="s">
        <v>361</v>
      </c>
    </row>
    <row r="1033" spans="1:9" ht="26.4">
      <c r="A1033" s="229" t="s">
        <v>660</v>
      </c>
      <c r="B1033" s="230" t="s">
        <v>661</v>
      </c>
      <c r="C1033" s="231">
        <v>0.06</v>
      </c>
      <c r="D1033" s="232">
        <v>9.52</v>
      </c>
      <c r="E1033" s="233">
        <v>0.56999999999999995</v>
      </c>
      <c r="I1033" s="219">
        <v>9.52</v>
      </c>
    </row>
    <row r="1034" spans="1:9">
      <c r="A1034" s="229" t="s">
        <v>662</v>
      </c>
      <c r="B1034" s="230" t="s">
        <v>663</v>
      </c>
      <c r="C1034" s="231">
        <v>0.06</v>
      </c>
      <c r="D1034" s="232">
        <v>12.12</v>
      </c>
      <c r="E1034" s="233">
        <v>0.72</v>
      </c>
      <c r="I1034" s="219">
        <v>12.12</v>
      </c>
    </row>
    <row r="1035" spans="1:9">
      <c r="A1035" s="229"/>
      <c r="B1035" s="230"/>
      <c r="C1035" s="231"/>
      <c r="D1035" s="232" t="s">
        <v>366</v>
      </c>
      <c r="E1035" s="233">
        <v>1.29</v>
      </c>
      <c r="I1035" s="219" t="s">
        <v>366</v>
      </c>
    </row>
    <row r="1036" spans="1:9">
      <c r="A1036" s="229"/>
      <c r="B1036" s="230"/>
      <c r="C1036" s="231"/>
      <c r="D1036" s="232" t="s">
        <v>367</v>
      </c>
      <c r="E1036" s="233">
        <v>2.54</v>
      </c>
      <c r="I1036" s="219" t="s">
        <v>367</v>
      </c>
    </row>
    <row r="1037" spans="1:9">
      <c r="A1037" s="229"/>
      <c r="B1037" s="230"/>
      <c r="C1037" s="231"/>
      <c r="D1037" s="232" t="s">
        <v>1045</v>
      </c>
      <c r="E1037" s="233">
        <v>0.73</v>
      </c>
      <c r="I1037" s="219" t="s">
        <v>1045</v>
      </c>
    </row>
    <row r="1038" spans="1:9">
      <c r="A1038" s="229"/>
      <c r="B1038" s="230"/>
      <c r="C1038" s="231"/>
      <c r="D1038" s="234" t="s">
        <v>196</v>
      </c>
      <c r="E1038" s="235">
        <v>3.27</v>
      </c>
      <c r="I1038" s="219" t="s">
        <v>196</v>
      </c>
    </row>
    <row r="1040" spans="1:9" ht="26.4">
      <c r="A1040" s="214" t="s">
        <v>916</v>
      </c>
      <c r="B1040" s="215" t="s">
        <v>118</v>
      </c>
      <c r="C1040" s="216" t="s">
        <v>23</v>
      </c>
    </row>
    <row r="1041" spans="1:9">
      <c r="A1041" s="220"/>
      <c r="B1041" s="221" t="s">
        <v>347</v>
      </c>
      <c r="C1041" s="222" t="s">
        <v>348</v>
      </c>
      <c r="D1041" s="223" t="s">
        <v>349</v>
      </c>
      <c r="E1041" s="223" t="s">
        <v>350</v>
      </c>
      <c r="I1041" s="219" t="s">
        <v>349</v>
      </c>
    </row>
    <row r="1042" spans="1:9">
      <c r="A1042" s="224" t="s">
        <v>668</v>
      </c>
      <c r="B1042" s="225" t="s">
        <v>669</v>
      </c>
      <c r="C1042" s="226">
        <v>7.0000000000000001E-3</v>
      </c>
      <c r="D1042" s="227">
        <v>35.39</v>
      </c>
      <c r="E1042" s="228">
        <v>0.24</v>
      </c>
      <c r="I1042" s="219">
        <v>35.39</v>
      </c>
    </row>
    <row r="1043" spans="1:9">
      <c r="A1043" s="229" t="s">
        <v>674</v>
      </c>
      <c r="B1043" s="230" t="s">
        <v>675</v>
      </c>
      <c r="C1043" s="231">
        <v>1</v>
      </c>
      <c r="D1043" s="232">
        <v>0.37</v>
      </c>
      <c r="E1043" s="233">
        <v>0.37</v>
      </c>
      <c r="I1043" s="219">
        <v>0.37</v>
      </c>
    </row>
    <row r="1044" spans="1:9">
      <c r="A1044" s="229" t="s">
        <v>672</v>
      </c>
      <c r="B1044" s="230" t="s">
        <v>673</v>
      </c>
      <c r="C1044" s="231">
        <v>8.0000000000000002E-3</v>
      </c>
      <c r="D1044" s="232">
        <v>30.73</v>
      </c>
      <c r="E1044" s="233">
        <v>0.24</v>
      </c>
      <c r="I1044" s="219">
        <v>30.73</v>
      </c>
    </row>
    <row r="1045" spans="1:9">
      <c r="A1045" s="229" t="s">
        <v>666</v>
      </c>
      <c r="B1045" s="230" t="s">
        <v>667</v>
      </c>
      <c r="C1045" s="231">
        <v>1.2999999999999999E-2</v>
      </c>
      <c r="D1045" s="232">
        <v>1.39</v>
      </c>
      <c r="E1045" s="233">
        <v>0.01</v>
      </c>
      <c r="I1045" s="219">
        <v>1.39</v>
      </c>
    </row>
    <row r="1046" spans="1:9">
      <c r="A1046" s="229"/>
      <c r="B1046" s="230"/>
      <c r="C1046" s="231"/>
      <c r="D1046" s="232" t="s">
        <v>361</v>
      </c>
      <c r="E1046" s="233">
        <v>0.86</v>
      </c>
      <c r="I1046" s="219" t="s">
        <v>361</v>
      </c>
    </row>
    <row r="1047" spans="1:9" ht="26.4">
      <c r="A1047" s="229" t="s">
        <v>660</v>
      </c>
      <c r="B1047" s="230" t="s">
        <v>661</v>
      </c>
      <c r="C1047" s="231">
        <v>0.06</v>
      </c>
      <c r="D1047" s="232">
        <v>9.52</v>
      </c>
      <c r="E1047" s="233">
        <v>0.56999999999999995</v>
      </c>
      <c r="I1047" s="219">
        <v>9.52</v>
      </c>
    </row>
    <row r="1048" spans="1:9">
      <c r="A1048" s="229" t="s">
        <v>662</v>
      </c>
      <c r="B1048" s="230" t="s">
        <v>663</v>
      </c>
      <c r="C1048" s="231">
        <v>0.06</v>
      </c>
      <c r="D1048" s="232">
        <v>12.12</v>
      </c>
      <c r="E1048" s="233">
        <v>0.72</v>
      </c>
      <c r="I1048" s="219">
        <v>12.12</v>
      </c>
    </row>
    <row r="1049" spans="1:9">
      <c r="A1049" s="229"/>
      <c r="B1049" s="230"/>
      <c r="C1049" s="231"/>
      <c r="D1049" s="232" t="s">
        <v>366</v>
      </c>
      <c r="E1049" s="233">
        <v>1.29</v>
      </c>
      <c r="I1049" s="219" t="s">
        <v>366</v>
      </c>
    </row>
    <row r="1050" spans="1:9">
      <c r="A1050" s="229"/>
      <c r="B1050" s="230"/>
      <c r="C1050" s="231"/>
      <c r="D1050" s="232" t="s">
        <v>367</v>
      </c>
      <c r="E1050" s="233">
        <v>2.15</v>
      </c>
      <c r="I1050" s="219" t="s">
        <v>367</v>
      </c>
    </row>
    <row r="1051" spans="1:9">
      <c r="A1051" s="229"/>
      <c r="B1051" s="230"/>
      <c r="C1051" s="231"/>
      <c r="D1051" s="232" t="s">
        <v>1045</v>
      </c>
      <c r="E1051" s="233">
        <v>0.61</v>
      </c>
      <c r="I1051" s="219" t="s">
        <v>1045</v>
      </c>
    </row>
    <row r="1052" spans="1:9">
      <c r="A1052" s="229"/>
      <c r="B1052" s="230"/>
      <c r="C1052" s="231"/>
      <c r="D1052" s="234" t="s">
        <v>196</v>
      </c>
      <c r="E1052" s="235">
        <v>2.76</v>
      </c>
      <c r="I1052" s="219" t="s">
        <v>196</v>
      </c>
    </row>
    <row r="1054" spans="1:9" ht="26.4">
      <c r="A1054" s="214" t="s">
        <v>917</v>
      </c>
      <c r="B1054" s="215" t="s">
        <v>119</v>
      </c>
      <c r="C1054" s="216" t="s">
        <v>23</v>
      </c>
    </row>
    <row r="1055" spans="1:9">
      <c r="A1055" s="220"/>
      <c r="B1055" s="221" t="s">
        <v>347</v>
      </c>
      <c r="C1055" s="222" t="s">
        <v>348</v>
      </c>
      <c r="D1055" s="223" t="s">
        <v>349</v>
      </c>
      <c r="E1055" s="223" t="s">
        <v>350</v>
      </c>
      <c r="I1055" s="219" t="s">
        <v>349</v>
      </c>
    </row>
    <row r="1056" spans="1:9">
      <c r="A1056" s="224" t="s">
        <v>668</v>
      </c>
      <c r="B1056" s="225" t="s">
        <v>669</v>
      </c>
      <c r="C1056" s="226">
        <v>1.2E-2</v>
      </c>
      <c r="D1056" s="227">
        <v>35.39</v>
      </c>
      <c r="E1056" s="228">
        <v>0.42</v>
      </c>
      <c r="I1056" s="219">
        <v>35.39</v>
      </c>
    </row>
    <row r="1057" spans="1:9">
      <c r="A1057" s="229" t="s">
        <v>676</v>
      </c>
      <c r="B1057" s="230" t="s">
        <v>677</v>
      </c>
      <c r="C1057" s="231">
        <v>1</v>
      </c>
      <c r="D1057" s="232">
        <v>2.66</v>
      </c>
      <c r="E1057" s="233">
        <v>2.66</v>
      </c>
      <c r="I1057" s="219">
        <v>2.66</v>
      </c>
    </row>
    <row r="1058" spans="1:9">
      <c r="A1058" s="229" t="s">
        <v>672</v>
      </c>
      <c r="B1058" s="230" t="s">
        <v>673</v>
      </c>
      <c r="C1058" s="231">
        <v>1.4E-2</v>
      </c>
      <c r="D1058" s="232">
        <v>30.73</v>
      </c>
      <c r="E1058" s="233">
        <v>0.43</v>
      </c>
      <c r="I1058" s="219">
        <v>30.73</v>
      </c>
    </row>
    <row r="1059" spans="1:9">
      <c r="A1059" s="229" t="s">
        <v>666</v>
      </c>
      <c r="B1059" s="230" t="s">
        <v>667</v>
      </c>
      <c r="C1059" s="231">
        <v>0.02</v>
      </c>
      <c r="D1059" s="232">
        <v>1.39</v>
      </c>
      <c r="E1059" s="233">
        <v>0.02</v>
      </c>
      <c r="I1059" s="219">
        <v>1.39</v>
      </c>
    </row>
    <row r="1060" spans="1:9">
      <c r="A1060" s="229"/>
      <c r="B1060" s="230"/>
      <c r="C1060" s="231"/>
      <c r="D1060" s="232" t="s">
        <v>361</v>
      </c>
      <c r="E1060" s="233">
        <v>3.5300000000000002</v>
      </c>
      <c r="I1060" s="219" t="s">
        <v>361</v>
      </c>
    </row>
    <row r="1061" spans="1:9" ht="26.4">
      <c r="A1061" s="229" t="s">
        <v>660</v>
      </c>
      <c r="B1061" s="230" t="s">
        <v>661</v>
      </c>
      <c r="C1061" s="231">
        <v>8.8999999999999996E-2</v>
      </c>
      <c r="D1061" s="232">
        <v>9.52</v>
      </c>
      <c r="E1061" s="233">
        <v>0.84</v>
      </c>
      <c r="I1061" s="219">
        <v>9.52</v>
      </c>
    </row>
    <row r="1062" spans="1:9">
      <c r="A1062" s="229" t="s">
        <v>662</v>
      </c>
      <c r="B1062" s="230" t="s">
        <v>663</v>
      </c>
      <c r="C1062" s="231">
        <v>8.8999999999999996E-2</v>
      </c>
      <c r="D1062" s="232">
        <v>12.12</v>
      </c>
      <c r="E1062" s="233">
        <v>1.07</v>
      </c>
      <c r="I1062" s="219">
        <v>12.12</v>
      </c>
    </row>
    <row r="1063" spans="1:9">
      <c r="A1063" s="229"/>
      <c r="B1063" s="230"/>
      <c r="C1063" s="231"/>
      <c r="D1063" s="232" t="s">
        <v>366</v>
      </c>
      <c r="E1063" s="233">
        <v>1.9100000000000001</v>
      </c>
      <c r="I1063" s="219" t="s">
        <v>366</v>
      </c>
    </row>
    <row r="1064" spans="1:9">
      <c r="A1064" s="229"/>
      <c r="B1064" s="230"/>
      <c r="C1064" s="231"/>
      <c r="D1064" s="232" t="s">
        <v>367</v>
      </c>
      <c r="E1064" s="233">
        <v>5.44</v>
      </c>
      <c r="I1064" s="219" t="s">
        <v>367</v>
      </c>
    </row>
    <row r="1065" spans="1:9">
      <c r="A1065" s="229"/>
      <c r="B1065" s="230"/>
      <c r="C1065" s="231"/>
      <c r="D1065" s="232" t="s">
        <v>1045</v>
      </c>
      <c r="E1065" s="233">
        <v>1.56</v>
      </c>
      <c r="I1065" s="219" t="s">
        <v>1045</v>
      </c>
    </row>
    <row r="1066" spans="1:9">
      <c r="A1066" s="229"/>
      <c r="B1066" s="230"/>
      <c r="C1066" s="231"/>
      <c r="D1066" s="234" t="s">
        <v>196</v>
      </c>
      <c r="E1066" s="235">
        <v>7</v>
      </c>
      <c r="I1066" s="219" t="s">
        <v>196</v>
      </c>
    </row>
    <row r="1068" spans="1:9" ht="26.4">
      <c r="A1068" s="214" t="s">
        <v>918</v>
      </c>
      <c r="B1068" s="215" t="s">
        <v>134</v>
      </c>
      <c r="C1068" s="216" t="s">
        <v>23</v>
      </c>
    </row>
    <row r="1069" spans="1:9">
      <c r="A1069" s="220"/>
      <c r="B1069" s="221" t="s">
        <v>347</v>
      </c>
      <c r="C1069" s="222" t="s">
        <v>348</v>
      </c>
      <c r="D1069" s="223" t="s">
        <v>349</v>
      </c>
      <c r="E1069" s="223" t="s">
        <v>350</v>
      </c>
      <c r="I1069" s="219" t="s">
        <v>349</v>
      </c>
    </row>
    <row r="1070" spans="1:9">
      <c r="A1070" s="224" t="s">
        <v>668</v>
      </c>
      <c r="B1070" s="225" t="s">
        <v>669</v>
      </c>
      <c r="C1070" s="226">
        <v>1.0999999999999999E-2</v>
      </c>
      <c r="D1070" s="227">
        <v>35.39</v>
      </c>
      <c r="E1070" s="228">
        <v>0.38</v>
      </c>
      <c r="I1070" s="219">
        <v>35.39</v>
      </c>
    </row>
    <row r="1071" spans="1:9" ht="26.4">
      <c r="A1071" s="229" t="s">
        <v>678</v>
      </c>
      <c r="B1071" s="230" t="s">
        <v>679</v>
      </c>
      <c r="C1071" s="231">
        <v>1</v>
      </c>
      <c r="D1071" s="232">
        <v>0.63</v>
      </c>
      <c r="E1071" s="233">
        <v>0.63</v>
      </c>
      <c r="I1071" s="219">
        <v>0.63</v>
      </c>
    </row>
    <row r="1072" spans="1:9">
      <c r="A1072" s="229" t="s">
        <v>672</v>
      </c>
      <c r="B1072" s="230" t="s">
        <v>673</v>
      </c>
      <c r="C1072" s="231">
        <v>1.2E-2</v>
      </c>
      <c r="D1072" s="232">
        <v>30.73</v>
      </c>
      <c r="E1072" s="233">
        <v>0.36</v>
      </c>
      <c r="I1072" s="219">
        <v>30.73</v>
      </c>
    </row>
    <row r="1073" spans="1:9">
      <c r="A1073" s="229" t="s">
        <v>666</v>
      </c>
      <c r="B1073" s="230" t="s">
        <v>667</v>
      </c>
      <c r="C1073" s="231">
        <v>0.02</v>
      </c>
      <c r="D1073" s="232">
        <v>1.39</v>
      </c>
      <c r="E1073" s="233">
        <v>0.02</v>
      </c>
      <c r="I1073" s="219">
        <v>1.39</v>
      </c>
    </row>
    <row r="1074" spans="1:9">
      <c r="A1074" s="229"/>
      <c r="B1074" s="230"/>
      <c r="C1074" s="231"/>
      <c r="D1074" s="232" t="s">
        <v>361</v>
      </c>
      <c r="E1074" s="233">
        <v>1.3900000000000001</v>
      </c>
      <c r="I1074" s="219" t="s">
        <v>361</v>
      </c>
    </row>
    <row r="1075" spans="1:9" ht="26.4">
      <c r="A1075" s="229" t="s">
        <v>660</v>
      </c>
      <c r="B1075" s="230" t="s">
        <v>661</v>
      </c>
      <c r="C1075" s="231">
        <v>0.08</v>
      </c>
      <c r="D1075" s="232">
        <v>9.52</v>
      </c>
      <c r="E1075" s="233">
        <v>0.76</v>
      </c>
      <c r="I1075" s="219">
        <v>9.52</v>
      </c>
    </row>
    <row r="1076" spans="1:9">
      <c r="A1076" s="229" t="s">
        <v>662</v>
      </c>
      <c r="B1076" s="230" t="s">
        <v>663</v>
      </c>
      <c r="C1076" s="231">
        <v>0.08</v>
      </c>
      <c r="D1076" s="232">
        <v>12.12</v>
      </c>
      <c r="E1076" s="233">
        <v>0.96</v>
      </c>
      <c r="I1076" s="219">
        <v>12.12</v>
      </c>
    </row>
    <row r="1077" spans="1:9">
      <c r="A1077" s="229"/>
      <c r="B1077" s="230"/>
      <c r="C1077" s="231"/>
      <c r="D1077" s="232" t="s">
        <v>366</v>
      </c>
      <c r="E1077" s="233">
        <v>1.72</v>
      </c>
      <c r="I1077" s="219" t="s">
        <v>366</v>
      </c>
    </row>
    <row r="1078" spans="1:9">
      <c r="A1078" s="229"/>
      <c r="B1078" s="230"/>
      <c r="C1078" s="231"/>
      <c r="D1078" s="232" t="s">
        <v>367</v>
      </c>
      <c r="E1078" s="233">
        <v>3.1100000000000003</v>
      </c>
      <c r="I1078" s="219" t="s">
        <v>367</v>
      </c>
    </row>
    <row r="1079" spans="1:9">
      <c r="A1079" s="229"/>
      <c r="B1079" s="230"/>
      <c r="C1079" s="231"/>
      <c r="D1079" s="232" t="s">
        <v>1045</v>
      </c>
      <c r="E1079" s="233">
        <v>0.89</v>
      </c>
      <c r="I1079" s="219" t="s">
        <v>1045</v>
      </c>
    </row>
    <row r="1080" spans="1:9">
      <c r="A1080" s="229"/>
      <c r="B1080" s="230"/>
      <c r="C1080" s="231"/>
      <c r="D1080" s="234" t="s">
        <v>196</v>
      </c>
      <c r="E1080" s="235">
        <v>4</v>
      </c>
      <c r="I1080" s="219" t="s">
        <v>196</v>
      </c>
    </row>
    <row r="1082" spans="1:9" ht="26.4">
      <c r="A1082" s="214" t="s">
        <v>919</v>
      </c>
      <c r="B1082" s="215" t="s">
        <v>135</v>
      </c>
      <c r="C1082" s="216" t="s">
        <v>23</v>
      </c>
    </row>
    <row r="1083" spans="1:9">
      <c r="A1083" s="220"/>
      <c r="B1083" s="221" t="s">
        <v>347</v>
      </c>
      <c r="C1083" s="222" t="s">
        <v>348</v>
      </c>
      <c r="D1083" s="223" t="s">
        <v>349</v>
      </c>
      <c r="E1083" s="223" t="s">
        <v>350</v>
      </c>
      <c r="I1083" s="219" t="s">
        <v>349</v>
      </c>
    </row>
    <row r="1084" spans="1:9">
      <c r="A1084" s="224" t="s">
        <v>668</v>
      </c>
      <c r="B1084" s="225" t="s">
        <v>669</v>
      </c>
      <c r="C1084" s="226">
        <v>1.7999999999999999E-2</v>
      </c>
      <c r="D1084" s="227">
        <v>35.39</v>
      </c>
      <c r="E1084" s="228">
        <v>0.63</v>
      </c>
      <c r="I1084" s="219">
        <v>35.39</v>
      </c>
    </row>
    <row r="1085" spans="1:9" ht="26.4">
      <c r="A1085" s="229" t="s">
        <v>680</v>
      </c>
      <c r="B1085" s="230" t="s">
        <v>681</v>
      </c>
      <c r="C1085" s="231">
        <v>1</v>
      </c>
      <c r="D1085" s="232">
        <v>4.63</v>
      </c>
      <c r="E1085" s="233">
        <v>4.63</v>
      </c>
      <c r="I1085" s="219">
        <v>4.63</v>
      </c>
    </row>
    <row r="1086" spans="1:9">
      <c r="A1086" s="229" t="s">
        <v>672</v>
      </c>
      <c r="B1086" s="230" t="s">
        <v>673</v>
      </c>
      <c r="C1086" s="231">
        <v>2.1000000000000001E-2</v>
      </c>
      <c r="D1086" s="232">
        <v>30.73</v>
      </c>
      <c r="E1086" s="233">
        <v>0.64</v>
      </c>
      <c r="I1086" s="219">
        <v>30.73</v>
      </c>
    </row>
    <row r="1087" spans="1:9">
      <c r="A1087" s="229" t="s">
        <v>666</v>
      </c>
      <c r="B1087" s="230" t="s">
        <v>667</v>
      </c>
      <c r="C1087" s="231">
        <v>0.03</v>
      </c>
      <c r="D1087" s="232">
        <v>1.39</v>
      </c>
      <c r="E1087" s="233">
        <v>0.04</v>
      </c>
      <c r="I1087" s="219">
        <v>1.39</v>
      </c>
    </row>
    <row r="1088" spans="1:9">
      <c r="A1088" s="229"/>
      <c r="B1088" s="230"/>
      <c r="C1088" s="231"/>
      <c r="D1088" s="232" t="s">
        <v>361</v>
      </c>
      <c r="E1088" s="233">
        <v>5.9399999999999995</v>
      </c>
      <c r="I1088" s="219" t="s">
        <v>361</v>
      </c>
    </row>
    <row r="1089" spans="1:9" ht="26.4">
      <c r="A1089" s="229" t="s">
        <v>660</v>
      </c>
      <c r="B1089" s="230" t="s">
        <v>661</v>
      </c>
      <c r="C1089" s="231">
        <v>0.11899999999999999</v>
      </c>
      <c r="D1089" s="232">
        <v>9.52</v>
      </c>
      <c r="E1089" s="233">
        <v>1.1299999999999999</v>
      </c>
      <c r="I1089" s="219">
        <v>9.52</v>
      </c>
    </row>
    <row r="1090" spans="1:9">
      <c r="A1090" s="229" t="s">
        <v>662</v>
      </c>
      <c r="B1090" s="230" t="s">
        <v>663</v>
      </c>
      <c r="C1090" s="231">
        <v>0.11899999999999999</v>
      </c>
      <c r="D1090" s="232">
        <v>12.12</v>
      </c>
      <c r="E1090" s="233">
        <v>1.44</v>
      </c>
      <c r="I1090" s="219">
        <v>12.12</v>
      </c>
    </row>
    <row r="1091" spans="1:9">
      <c r="A1091" s="229"/>
      <c r="B1091" s="230"/>
      <c r="C1091" s="231"/>
      <c r="D1091" s="232" t="s">
        <v>366</v>
      </c>
      <c r="E1091" s="233">
        <v>2.57</v>
      </c>
      <c r="I1091" s="219" t="s">
        <v>366</v>
      </c>
    </row>
    <row r="1092" spans="1:9">
      <c r="A1092" s="229"/>
      <c r="B1092" s="230"/>
      <c r="C1092" s="231"/>
      <c r="D1092" s="232" t="s">
        <v>367</v>
      </c>
      <c r="E1092" s="233">
        <v>8.51</v>
      </c>
      <c r="I1092" s="219" t="s">
        <v>367</v>
      </c>
    </row>
    <row r="1093" spans="1:9">
      <c r="A1093" s="229"/>
      <c r="B1093" s="230"/>
      <c r="C1093" s="231"/>
      <c r="D1093" s="232" t="s">
        <v>1045</v>
      </c>
      <c r="E1093" s="233">
        <v>2.4500000000000002</v>
      </c>
      <c r="I1093" s="219" t="s">
        <v>1045</v>
      </c>
    </row>
    <row r="1094" spans="1:9">
      <c r="A1094" s="229"/>
      <c r="B1094" s="230"/>
      <c r="C1094" s="231"/>
      <c r="D1094" s="234" t="s">
        <v>196</v>
      </c>
      <c r="E1094" s="235">
        <v>10.96</v>
      </c>
      <c r="I1094" s="219" t="s">
        <v>196</v>
      </c>
    </row>
    <row r="1096" spans="1:9" ht="26.4">
      <c r="A1096" s="214" t="s">
        <v>920</v>
      </c>
      <c r="B1096" s="215" t="s">
        <v>243</v>
      </c>
      <c r="C1096" s="216" t="s">
        <v>23</v>
      </c>
    </row>
    <row r="1097" spans="1:9">
      <c r="A1097" s="220"/>
      <c r="B1097" s="221" t="s">
        <v>347</v>
      </c>
      <c r="C1097" s="222" t="s">
        <v>348</v>
      </c>
      <c r="D1097" s="223" t="s">
        <v>349</v>
      </c>
      <c r="E1097" s="223" t="s">
        <v>350</v>
      </c>
      <c r="I1097" s="219" t="s">
        <v>349</v>
      </c>
    </row>
    <row r="1098" spans="1:9">
      <c r="A1098" s="224" t="s">
        <v>668</v>
      </c>
      <c r="B1098" s="225" t="s">
        <v>669</v>
      </c>
      <c r="C1098" s="226">
        <v>7.0000000000000001E-3</v>
      </c>
      <c r="D1098" s="227">
        <v>35.39</v>
      </c>
      <c r="E1098" s="228">
        <v>0.24</v>
      </c>
      <c r="I1098" s="219">
        <v>35.39</v>
      </c>
    </row>
    <row r="1099" spans="1:9">
      <c r="A1099" s="229" t="s">
        <v>670</v>
      </c>
      <c r="B1099" s="230" t="s">
        <v>671</v>
      </c>
      <c r="C1099" s="231">
        <v>1</v>
      </c>
      <c r="D1099" s="232">
        <v>0.76</v>
      </c>
      <c r="E1099" s="233">
        <v>0.76</v>
      </c>
      <c r="I1099" s="219">
        <v>0.76</v>
      </c>
    </row>
    <row r="1100" spans="1:9">
      <c r="A1100" s="229" t="s">
        <v>672</v>
      </c>
      <c r="B1100" s="230" t="s">
        <v>673</v>
      </c>
      <c r="C1100" s="231">
        <v>8.0000000000000002E-3</v>
      </c>
      <c r="D1100" s="232">
        <v>30.73</v>
      </c>
      <c r="E1100" s="233">
        <v>0.24</v>
      </c>
      <c r="I1100" s="219">
        <v>30.73</v>
      </c>
    </row>
    <row r="1101" spans="1:9">
      <c r="A1101" s="229" t="s">
        <v>666</v>
      </c>
      <c r="B1101" s="230" t="s">
        <v>667</v>
      </c>
      <c r="C1101" s="231">
        <v>1.2999999999999999E-2</v>
      </c>
      <c r="D1101" s="232">
        <v>1.39</v>
      </c>
      <c r="E1101" s="233">
        <v>0.01</v>
      </c>
      <c r="I1101" s="219">
        <v>1.39</v>
      </c>
    </row>
    <row r="1102" spans="1:9">
      <c r="A1102" s="229"/>
      <c r="B1102" s="230"/>
      <c r="C1102" s="231"/>
      <c r="D1102" s="232" t="s">
        <v>361</v>
      </c>
      <c r="E1102" s="233">
        <v>1.25</v>
      </c>
      <c r="I1102" s="219" t="s">
        <v>361</v>
      </c>
    </row>
    <row r="1103" spans="1:9" ht="26.4">
      <c r="A1103" s="229" t="s">
        <v>660</v>
      </c>
      <c r="B1103" s="230" t="s">
        <v>661</v>
      </c>
      <c r="C1103" s="231">
        <v>0.06</v>
      </c>
      <c r="D1103" s="232">
        <v>9.52</v>
      </c>
      <c r="E1103" s="233">
        <v>0.56999999999999995</v>
      </c>
      <c r="I1103" s="219">
        <v>9.52</v>
      </c>
    </row>
    <row r="1104" spans="1:9">
      <c r="A1104" s="229" t="s">
        <v>662</v>
      </c>
      <c r="B1104" s="230" t="s">
        <v>663</v>
      </c>
      <c r="C1104" s="231">
        <v>0.06</v>
      </c>
      <c r="D1104" s="232">
        <v>12.12</v>
      </c>
      <c r="E1104" s="233">
        <v>0.72</v>
      </c>
      <c r="I1104" s="219">
        <v>12.12</v>
      </c>
    </row>
    <row r="1105" spans="1:9">
      <c r="A1105" s="229"/>
      <c r="B1105" s="230"/>
      <c r="C1105" s="231"/>
      <c r="D1105" s="232" t="s">
        <v>366</v>
      </c>
      <c r="E1105" s="233">
        <v>1.29</v>
      </c>
      <c r="I1105" s="219" t="s">
        <v>366</v>
      </c>
    </row>
    <row r="1106" spans="1:9">
      <c r="A1106" s="229"/>
      <c r="B1106" s="230"/>
      <c r="C1106" s="231"/>
      <c r="D1106" s="232" t="s">
        <v>367</v>
      </c>
      <c r="E1106" s="233">
        <v>2.54</v>
      </c>
      <c r="I1106" s="219" t="s">
        <v>367</v>
      </c>
    </row>
    <row r="1107" spans="1:9">
      <c r="A1107" s="229"/>
      <c r="B1107" s="230"/>
      <c r="C1107" s="231"/>
      <c r="D1107" s="232" t="s">
        <v>1045</v>
      </c>
      <c r="E1107" s="233">
        <v>0.73</v>
      </c>
      <c r="I1107" s="219" t="s">
        <v>1045</v>
      </c>
    </row>
    <row r="1108" spans="1:9">
      <c r="A1108" s="229"/>
      <c r="B1108" s="230"/>
      <c r="C1108" s="231"/>
      <c r="D1108" s="234" t="s">
        <v>196</v>
      </c>
      <c r="E1108" s="235">
        <v>3.27</v>
      </c>
      <c r="I1108" s="219" t="s">
        <v>196</v>
      </c>
    </row>
    <row r="1110" spans="1:9" ht="26.4">
      <c r="A1110" s="214" t="s">
        <v>921</v>
      </c>
      <c r="B1110" s="215" t="s">
        <v>238</v>
      </c>
      <c r="C1110" s="216" t="s">
        <v>23</v>
      </c>
    </row>
    <row r="1111" spans="1:9">
      <c r="A1111" s="220"/>
      <c r="B1111" s="221" t="s">
        <v>347</v>
      </c>
      <c r="C1111" s="222" t="s">
        <v>348</v>
      </c>
      <c r="D1111" s="223" t="s">
        <v>349</v>
      </c>
      <c r="E1111" s="223" t="s">
        <v>350</v>
      </c>
      <c r="I1111" s="219" t="s">
        <v>349</v>
      </c>
    </row>
    <row r="1112" spans="1:9">
      <c r="A1112" s="224" t="s">
        <v>668</v>
      </c>
      <c r="B1112" s="225" t="s">
        <v>669</v>
      </c>
      <c r="C1112" s="226">
        <v>7.0000000000000001E-3</v>
      </c>
      <c r="D1112" s="227">
        <v>35.39</v>
      </c>
      <c r="E1112" s="228">
        <v>0.24</v>
      </c>
      <c r="I1112" s="219">
        <v>35.39</v>
      </c>
    </row>
    <row r="1113" spans="1:9">
      <c r="A1113" s="229" t="s">
        <v>672</v>
      </c>
      <c r="B1113" s="230" t="s">
        <v>673</v>
      </c>
      <c r="C1113" s="231">
        <v>8.0000000000000002E-3</v>
      </c>
      <c r="D1113" s="232">
        <v>30.73</v>
      </c>
      <c r="E1113" s="233">
        <v>0.24</v>
      </c>
      <c r="I1113" s="219">
        <v>30.73</v>
      </c>
    </row>
    <row r="1114" spans="1:9" ht="26.4">
      <c r="A1114" s="229" t="s">
        <v>682</v>
      </c>
      <c r="B1114" s="230" t="s">
        <v>683</v>
      </c>
      <c r="C1114" s="231">
        <v>1</v>
      </c>
      <c r="D1114" s="232">
        <v>3.13</v>
      </c>
      <c r="E1114" s="233">
        <v>3.13</v>
      </c>
      <c r="I1114" s="219">
        <v>3.13</v>
      </c>
    </row>
    <row r="1115" spans="1:9">
      <c r="A1115" s="229" t="s">
        <v>666</v>
      </c>
      <c r="B1115" s="230" t="s">
        <v>667</v>
      </c>
      <c r="C1115" s="231">
        <v>0.05</v>
      </c>
      <c r="D1115" s="232">
        <v>1.39</v>
      </c>
      <c r="E1115" s="233">
        <v>0.06</v>
      </c>
      <c r="I1115" s="219">
        <v>1.39</v>
      </c>
    </row>
    <row r="1116" spans="1:9">
      <c r="A1116" s="229"/>
      <c r="B1116" s="230"/>
      <c r="C1116" s="231"/>
      <c r="D1116" s="232" t="s">
        <v>361</v>
      </c>
      <c r="E1116" s="233">
        <v>3.67</v>
      </c>
      <c r="I1116" s="219" t="s">
        <v>361</v>
      </c>
    </row>
    <row r="1117" spans="1:9" ht="26.4">
      <c r="A1117" s="229" t="s">
        <v>660</v>
      </c>
      <c r="B1117" s="230" t="s">
        <v>661</v>
      </c>
      <c r="C1117" s="231">
        <v>0.15</v>
      </c>
      <c r="D1117" s="232">
        <v>9.52</v>
      </c>
      <c r="E1117" s="233">
        <v>1.42</v>
      </c>
      <c r="I1117" s="219">
        <v>9.52</v>
      </c>
    </row>
    <row r="1118" spans="1:9">
      <c r="A1118" s="229" t="s">
        <v>662</v>
      </c>
      <c r="B1118" s="230" t="s">
        <v>663</v>
      </c>
      <c r="C1118" s="231">
        <v>0.15</v>
      </c>
      <c r="D1118" s="232">
        <v>12.12</v>
      </c>
      <c r="E1118" s="233">
        <v>1.81</v>
      </c>
      <c r="I1118" s="219">
        <v>12.12</v>
      </c>
    </row>
    <row r="1119" spans="1:9">
      <c r="A1119" s="229"/>
      <c r="B1119" s="230"/>
      <c r="C1119" s="231"/>
      <c r="D1119" s="232" t="s">
        <v>366</v>
      </c>
      <c r="E1119" s="233">
        <v>3.23</v>
      </c>
      <c r="I1119" s="219" t="s">
        <v>366</v>
      </c>
    </row>
    <row r="1120" spans="1:9">
      <c r="A1120" s="229"/>
      <c r="B1120" s="230"/>
      <c r="C1120" s="231"/>
      <c r="D1120" s="232" t="s">
        <v>367</v>
      </c>
      <c r="E1120" s="233">
        <v>6.9</v>
      </c>
      <c r="I1120" s="219" t="s">
        <v>367</v>
      </c>
    </row>
    <row r="1121" spans="1:9">
      <c r="A1121" s="229"/>
      <c r="B1121" s="230"/>
      <c r="C1121" s="231"/>
      <c r="D1121" s="232" t="s">
        <v>1045</v>
      </c>
      <c r="E1121" s="233">
        <v>1.98</v>
      </c>
      <c r="I1121" s="219" t="s">
        <v>1045</v>
      </c>
    </row>
    <row r="1122" spans="1:9">
      <c r="A1122" s="229"/>
      <c r="B1122" s="230"/>
      <c r="C1122" s="231"/>
      <c r="D1122" s="234" t="s">
        <v>196</v>
      </c>
      <c r="E1122" s="235">
        <v>8.8800000000000008</v>
      </c>
      <c r="I1122" s="219" t="s">
        <v>196</v>
      </c>
    </row>
    <row r="1124" spans="1:9" ht="26.4">
      <c r="A1124" s="214" t="s">
        <v>922</v>
      </c>
      <c r="B1124" s="215" t="s">
        <v>239</v>
      </c>
      <c r="C1124" s="216" t="s">
        <v>23</v>
      </c>
    </row>
    <row r="1125" spans="1:9">
      <c r="A1125" s="220"/>
      <c r="B1125" s="221" t="s">
        <v>347</v>
      </c>
      <c r="C1125" s="222" t="s">
        <v>348</v>
      </c>
      <c r="D1125" s="223" t="s">
        <v>349</v>
      </c>
      <c r="E1125" s="223" t="s">
        <v>350</v>
      </c>
      <c r="I1125" s="219" t="s">
        <v>349</v>
      </c>
    </row>
    <row r="1126" spans="1:9">
      <c r="A1126" s="224" t="s">
        <v>684</v>
      </c>
      <c r="B1126" s="225" t="s">
        <v>685</v>
      </c>
      <c r="C1126" s="226">
        <v>1.2999999999999999E-2</v>
      </c>
      <c r="D1126" s="227">
        <v>9.19</v>
      </c>
      <c r="E1126" s="228">
        <v>0.11</v>
      </c>
      <c r="I1126" s="219">
        <v>9.19</v>
      </c>
    </row>
    <row r="1127" spans="1:9">
      <c r="A1127" s="229" t="s">
        <v>686</v>
      </c>
      <c r="B1127" s="230" t="s">
        <v>687</v>
      </c>
      <c r="C1127" s="231">
        <v>1</v>
      </c>
      <c r="D1127" s="232">
        <v>14.21</v>
      </c>
      <c r="E1127" s="233">
        <v>14.21</v>
      </c>
      <c r="I1127" s="219">
        <v>14.21</v>
      </c>
    </row>
    <row r="1128" spans="1:9">
      <c r="A1128" s="229"/>
      <c r="B1128" s="230"/>
      <c r="C1128" s="231"/>
      <c r="D1128" s="232" t="s">
        <v>361</v>
      </c>
      <c r="E1128" s="233">
        <v>14.32</v>
      </c>
      <c r="I1128" s="219" t="s">
        <v>361</v>
      </c>
    </row>
    <row r="1129" spans="1:9" ht="26.4">
      <c r="A1129" s="229" t="s">
        <v>660</v>
      </c>
      <c r="B1129" s="230" t="s">
        <v>661</v>
      </c>
      <c r="C1129" s="231">
        <v>0.2</v>
      </c>
      <c r="D1129" s="232">
        <v>9.52</v>
      </c>
      <c r="E1129" s="233">
        <v>1.9</v>
      </c>
      <c r="I1129" s="219">
        <v>9.52</v>
      </c>
    </row>
    <row r="1130" spans="1:9">
      <c r="A1130" s="229" t="s">
        <v>662</v>
      </c>
      <c r="B1130" s="230" t="s">
        <v>663</v>
      </c>
      <c r="C1130" s="231">
        <v>0.2</v>
      </c>
      <c r="D1130" s="232">
        <v>12.12</v>
      </c>
      <c r="E1130" s="233">
        <v>2.42</v>
      </c>
      <c r="I1130" s="219">
        <v>12.12</v>
      </c>
    </row>
    <row r="1131" spans="1:9">
      <c r="A1131" s="229"/>
      <c r="B1131" s="230"/>
      <c r="C1131" s="231"/>
      <c r="D1131" s="232" t="s">
        <v>366</v>
      </c>
      <c r="E1131" s="233">
        <v>4.32</v>
      </c>
      <c r="I1131" s="219" t="s">
        <v>366</v>
      </c>
    </row>
    <row r="1132" spans="1:9">
      <c r="A1132" s="229"/>
      <c r="B1132" s="230"/>
      <c r="C1132" s="231"/>
      <c r="D1132" s="232" t="s">
        <v>367</v>
      </c>
      <c r="E1132" s="233">
        <v>18.64</v>
      </c>
      <c r="I1132" s="219" t="s">
        <v>367</v>
      </c>
    </row>
    <row r="1133" spans="1:9">
      <c r="A1133" s="229"/>
      <c r="B1133" s="230"/>
      <c r="C1133" s="231"/>
      <c r="D1133" s="232" t="s">
        <v>1045</v>
      </c>
      <c r="E1133" s="233">
        <v>5.37</v>
      </c>
      <c r="I1133" s="219" t="s">
        <v>1045</v>
      </c>
    </row>
    <row r="1134" spans="1:9">
      <c r="A1134" s="229"/>
      <c r="B1134" s="230"/>
      <c r="C1134" s="231"/>
      <c r="D1134" s="234" t="s">
        <v>196</v>
      </c>
      <c r="E1134" s="235">
        <v>24.01</v>
      </c>
      <c r="I1134" s="219" t="s">
        <v>196</v>
      </c>
    </row>
    <row r="1136" spans="1:9" ht="26.4">
      <c r="A1136" s="214" t="s">
        <v>923</v>
      </c>
      <c r="B1136" s="215" t="s">
        <v>240</v>
      </c>
      <c r="C1136" s="216" t="s">
        <v>23</v>
      </c>
    </row>
    <row r="1137" spans="1:9">
      <c r="A1137" s="220"/>
      <c r="B1137" s="221" t="s">
        <v>347</v>
      </c>
      <c r="C1137" s="222" t="s">
        <v>348</v>
      </c>
      <c r="D1137" s="223" t="s">
        <v>349</v>
      </c>
      <c r="E1137" s="223" t="s">
        <v>350</v>
      </c>
      <c r="I1137" s="219" t="s">
        <v>349</v>
      </c>
    </row>
    <row r="1138" spans="1:9">
      <c r="A1138" s="224" t="s">
        <v>684</v>
      </c>
      <c r="B1138" s="225" t="s">
        <v>685</v>
      </c>
      <c r="C1138" s="226">
        <v>1.2999999999999999E-2</v>
      </c>
      <c r="D1138" s="227">
        <v>9.19</v>
      </c>
      <c r="E1138" s="228">
        <v>0.11</v>
      </c>
      <c r="I1138" s="219">
        <v>9.19</v>
      </c>
    </row>
    <row r="1139" spans="1:9">
      <c r="A1139" s="229" t="s">
        <v>686</v>
      </c>
      <c r="B1139" s="230" t="s">
        <v>687</v>
      </c>
      <c r="C1139" s="231">
        <v>1</v>
      </c>
      <c r="D1139" s="232">
        <v>14.21</v>
      </c>
      <c r="E1139" s="233">
        <v>14.21</v>
      </c>
      <c r="I1139" s="219">
        <v>14.21</v>
      </c>
    </row>
    <row r="1140" spans="1:9">
      <c r="A1140" s="229"/>
      <c r="B1140" s="230"/>
      <c r="C1140" s="231"/>
      <c r="D1140" s="232" t="s">
        <v>361</v>
      </c>
      <c r="E1140" s="233">
        <v>14.32</v>
      </c>
      <c r="I1140" s="219" t="s">
        <v>361</v>
      </c>
    </row>
    <row r="1141" spans="1:9" ht="26.4">
      <c r="A1141" s="229" t="s">
        <v>660</v>
      </c>
      <c r="B1141" s="230" t="s">
        <v>661</v>
      </c>
      <c r="C1141" s="231">
        <v>0.2</v>
      </c>
      <c r="D1141" s="232">
        <v>9.52</v>
      </c>
      <c r="E1141" s="233">
        <v>1.9</v>
      </c>
      <c r="I1141" s="219">
        <v>9.52</v>
      </c>
    </row>
    <row r="1142" spans="1:9">
      <c r="A1142" s="229" t="s">
        <v>662</v>
      </c>
      <c r="B1142" s="230" t="s">
        <v>663</v>
      </c>
      <c r="C1142" s="231">
        <v>0.2</v>
      </c>
      <c r="D1142" s="232">
        <v>12.12</v>
      </c>
      <c r="E1142" s="233">
        <v>2.42</v>
      </c>
      <c r="I1142" s="219">
        <v>12.12</v>
      </c>
    </row>
    <row r="1143" spans="1:9">
      <c r="A1143" s="229"/>
      <c r="B1143" s="230"/>
      <c r="C1143" s="231"/>
      <c r="D1143" s="232" t="s">
        <v>366</v>
      </c>
      <c r="E1143" s="233">
        <v>4.32</v>
      </c>
      <c r="I1143" s="219" t="s">
        <v>366</v>
      </c>
    </row>
    <row r="1144" spans="1:9">
      <c r="A1144" s="229"/>
      <c r="B1144" s="230"/>
      <c r="C1144" s="231"/>
      <c r="D1144" s="232" t="s">
        <v>367</v>
      </c>
      <c r="E1144" s="233">
        <v>18.64</v>
      </c>
      <c r="I1144" s="219" t="s">
        <v>367</v>
      </c>
    </row>
    <row r="1145" spans="1:9">
      <c r="A1145" s="229"/>
      <c r="B1145" s="230"/>
      <c r="C1145" s="231"/>
      <c r="D1145" s="232" t="s">
        <v>1045</v>
      </c>
      <c r="E1145" s="233">
        <v>5.37</v>
      </c>
      <c r="I1145" s="219" t="s">
        <v>1045</v>
      </c>
    </row>
    <row r="1146" spans="1:9">
      <c r="A1146" s="229"/>
      <c r="B1146" s="230"/>
      <c r="C1146" s="231"/>
      <c r="D1146" s="234" t="s">
        <v>196</v>
      </c>
      <c r="E1146" s="235">
        <v>24.01</v>
      </c>
      <c r="I1146" s="219" t="s">
        <v>196</v>
      </c>
    </row>
    <row r="1148" spans="1:9" ht="26.4">
      <c r="A1148" s="214" t="s">
        <v>924</v>
      </c>
      <c r="B1148" s="215" t="s">
        <v>138</v>
      </c>
      <c r="C1148" s="216" t="s">
        <v>23</v>
      </c>
    </row>
    <row r="1149" spans="1:9">
      <c r="A1149" s="220"/>
      <c r="B1149" s="221" t="s">
        <v>347</v>
      </c>
      <c r="C1149" s="222" t="s">
        <v>348</v>
      </c>
      <c r="D1149" s="223" t="s">
        <v>349</v>
      </c>
      <c r="E1149" s="223" t="s">
        <v>350</v>
      </c>
      <c r="I1149" s="219" t="s">
        <v>349</v>
      </c>
    </row>
    <row r="1150" spans="1:9">
      <c r="A1150" s="224" t="s">
        <v>684</v>
      </c>
      <c r="B1150" s="225" t="s">
        <v>685</v>
      </c>
      <c r="C1150" s="226">
        <v>9.3299999999999998E-3</v>
      </c>
      <c r="D1150" s="227">
        <v>9.19</v>
      </c>
      <c r="E1150" s="228">
        <v>0.08</v>
      </c>
      <c r="I1150" s="219">
        <v>9.19</v>
      </c>
    </row>
    <row r="1151" spans="1:9" ht="26.4">
      <c r="A1151" s="229" t="s">
        <v>688</v>
      </c>
      <c r="B1151" s="230" t="s">
        <v>689</v>
      </c>
      <c r="C1151" s="231">
        <v>1</v>
      </c>
      <c r="D1151" s="232">
        <v>23.68</v>
      </c>
      <c r="E1151" s="233">
        <v>23.68</v>
      </c>
      <c r="I1151" s="219">
        <v>23.68</v>
      </c>
    </row>
    <row r="1152" spans="1:9">
      <c r="A1152" s="229"/>
      <c r="B1152" s="230"/>
      <c r="C1152" s="231"/>
      <c r="D1152" s="232" t="s">
        <v>361</v>
      </c>
      <c r="E1152" s="233">
        <v>23.759999999999998</v>
      </c>
      <c r="I1152" s="219" t="s">
        <v>361</v>
      </c>
    </row>
    <row r="1153" spans="1:9" ht="26.4">
      <c r="A1153" s="229" t="s">
        <v>660</v>
      </c>
      <c r="B1153" s="230" t="s">
        <v>661</v>
      </c>
      <c r="C1153" s="231">
        <v>0.26933000000000001</v>
      </c>
      <c r="D1153" s="232">
        <v>9.52</v>
      </c>
      <c r="E1153" s="233">
        <v>2.56</v>
      </c>
      <c r="I1153" s="219">
        <v>9.52</v>
      </c>
    </row>
    <row r="1154" spans="1:9">
      <c r="A1154" s="229" t="s">
        <v>662</v>
      </c>
      <c r="B1154" s="230" t="s">
        <v>663</v>
      </c>
      <c r="C1154" s="231">
        <v>0.26933000000000001</v>
      </c>
      <c r="D1154" s="232">
        <v>12.12</v>
      </c>
      <c r="E1154" s="233">
        <v>3.26</v>
      </c>
      <c r="I1154" s="219">
        <v>12.12</v>
      </c>
    </row>
    <row r="1155" spans="1:9">
      <c r="A1155" s="229"/>
      <c r="B1155" s="230"/>
      <c r="C1155" s="231"/>
      <c r="D1155" s="232" t="s">
        <v>366</v>
      </c>
      <c r="E1155" s="233">
        <v>5.82</v>
      </c>
      <c r="I1155" s="219" t="s">
        <v>366</v>
      </c>
    </row>
    <row r="1156" spans="1:9">
      <c r="A1156" s="229"/>
      <c r="B1156" s="230"/>
      <c r="C1156" s="231"/>
      <c r="D1156" s="232" t="s">
        <v>367</v>
      </c>
      <c r="E1156" s="233">
        <v>29.58</v>
      </c>
      <c r="I1156" s="219" t="s">
        <v>367</v>
      </c>
    </row>
    <row r="1157" spans="1:9">
      <c r="A1157" s="229"/>
      <c r="B1157" s="230"/>
      <c r="C1157" s="231"/>
      <c r="D1157" s="232" t="s">
        <v>1045</v>
      </c>
      <c r="E1157" s="233">
        <v>8.52</v>
      </c>
      <c r="I1157" s="219" t="s">
        <v>1045</v>
      </c>
    </row>
    <row r="1158" spans="1:9">
      <c r="A1158" s="229"/>
      <c r="B1158" s="230"/>
      <c r="C1158" s="231"/>
      <c r="D1158" s="234" t="s">
        <v>196</v>
      </c>
      <c r="E1158" s="235">
        <v>38.099999999999994</v>
      </c>
      <c r="I1158" s="219" t="s">
        <v>196</v>
      </c>
    </row>
    <row r="1160" spans="1:9" ht="26.4">
      <c r="A1160" s="214" t="s">
        <v>925</v>
      </c>
      <c r="B1160" s="215" t="s">
        <v>241</v>
      </c>
      <c r="C1160" s="216" t="s">
        <v>23</v>
      </c>
    </row>
    <row r="1161" spans="1:9">
      <c r="A1161" s="220"/>
      <c r="B1161" s="221" t="s">
        <v>347</v>
      </c>
      <c r="C1161" s="222" t="s">
        <v>348</v>
      </c>
      <c r="D1161" s="223" t="s">
        <v>349</v>
      </c>
      <c r="E1161" s="223" t="s">
        <v>350</v>
      </c>
      <c r="I1161" s="219" t="s">
        <v>349</v>
      </c>
    </row>
    <row r="1162" spans="1:9" ht="26.4">
      <c r="A1162" s="224" t="s">
        <v>690</v>
      </c>
      <c r="B1162" s="225" t="s">
        <v>691</v>
      </c>
      <c r="C1162" s="226">
        <v>1</v>
      </c>
      <c r="D1162" s="227">
        <v>5.71</v>
      </c>
      <c r="E1162" s="228">
        <v>5.71</v>
      </c>
      <c r="I1162" s="219">
        <v>5.71</v>
      </c>
    </row>
    <row r="1163" spans="1:9">
      <c r="A1163" s="229" t="s">
        <v>692</v>
      </c>
      <c r="B1163" s="230" t="s">
        <v>693</v>
      </c>
      <c r="C1163" s="231">
        <v>4.5999999999999999E-2</v>
      </c>
      <c r="D1163" s="232">
        <v>11.23</v>
      </c>
      <c r="E1163" s="233">
        <v>0.51</v>
      </c>
      <c r="I1163" s="219">
        <v>11.23</v>
      </c>
    </row>
    <row r="1164" spans="1:9">
      <c r="A1164" s="229" t="s">
        <v>672</v>
      </c>
      <c r="B1164" s="230" t="s">
        <v>673</v>
      </c>
      <c r="C1164" s="231">
        <v>1.0999999999999999E-2</v>
      </c>
      <c r="D1164" s="232">
        <v>30.73</v>
      </c>
      <c r="E1164" s="233">
        <v>0.33</v>
      </c>
      <c r="I1164" s="219">
        <v>30.73</v>
      </c>
    </row>
    <row r="1165" spans="1:9">
      <c r="A1165" s="229" t="s">
        <v>666</v>
      </c>
      <c r="B1165" s="230" t="s">
        <v>667</v>
      </c>
      <c r="C1165" s="231">
        <v>1.4E-2</v>
      </c>
      <c r="D1165" s="232">
        <v>1.39</v>
      </c>
      <c r="E1165" s="233">
        <v>0.01</v>
      </c>
      <c r="I1165" s="219">
        <v>1.39</v>
      </c>
    </row>
    <row r="1166" spans="1:9">
      <c r="A1166" s="229"/>
      <c r="B1166" s="230"/>
      <c r="C1166" s="231"/>
      <c r="D1166" s="232" t="s">
        <v>361</v>
      </c>
      <c r="E1166" s="233">
        <v>6.56</v>
      </c>
      <c r="I1166" s="219" t="s">
        <v>361</v>
      </c>
    </row>
    <row r="1167" spans="1:9" ht="26.4">
      <c r="A1167" s="229" t="s">
        <v>660</v>
      </c>
      <c r="B1167" s="230" t="s">
        <v>661</v>
      </c>
      <c r="C1167" s="231">
        <v>0.13600000000000001</v>
      </c>
      <c r="D1167" s="232">
        <v>9.52</v>
      </c>
      <c r="E1167" s="233">
        <v>1.29</v>
      </c>
      <c r="I1167" s="219">
        <v>9.52</v>
      </c>
    </row>
    <row r="1168" spans="1:9">
      <c r="A1168" s="229" t="s">
        <v>662</v>
      </c>
      <c r="B1168" s="230" t="s">
        <v>663</v>
      </c>
      <c r="C1168" s="231">
        <v>0.13600000000000001</v>
      </c>
      <c r="D1168" s="232">
        <v>12.12</v>
      </c>
      <c r="E1168" s="233">
        <v>1.64</v>
      </c>
      <c r="I1168" s="219">
        <v>12.12</v>
      </c>
    </row>
    <row r="1169" spans="1:9">
      <c r="A1169" s="229"/>
      <c r="B1169" s="230"/>
      <c r="C1169" s="231"/>
      <c r="D1169" s="232" t="s">
        <v>366</v>
      </c>
      <c r="E1169" s="233">
        <v>2.9299999999999997</v>
      </c>
      <c r="I1169" s="219" t="s">
        <v>366</v>
      </c>
    </row>
    <row r="1170" spans="1:9">
      <c r="A1170" s="229"/>
      <c r="B1170" s="230"/>
      <c r="C1170" s="231"/>
      <c r="D1170" s="232" t="s">
        <v>367</v>
      </c>
      <c r="E1170" s="233">
        <v>9.4899999999999984</v>
      </c>
      <c r="I1170" s="219" t="s">
        <v>367</v>
      </c>
    </row>
    <row r="1171" spans="1:9">
      <c r="A1171" s="229"/>
      <c r="B1171" s="230"/>
      <c r="C1171" s="231"/>
      <c r="D1171" s="232" t="s">
        <v>1045</v>
      </c>
      <c r="E1171" s="233">
        <v>2.73</v>
      </c>
      <c r="I1171" s="219" t="s">
        <v>1045</v>
      </c>
    </row>
    <row r="1172" spans="1:9">
      <c r="A1172" s="229"/>
      <c r="B1172" s="230"/>
      <c r="C1172" s="231"/>
      <c r="D1172" s="234" t="s">
        <v>196</v>
      </c>
      <c r="E1172" s="235">
        <v>12.219999999999999</v>
      </c>
      <c r="I1172" s="219" t="s">
        <v>196</v>
      </c>
    </row>
    <row r="1174" spans="1:9" ht="26.4">
      <c r="A1174" s="214" t="s">
        <v>926</v>
      </c>
      <c r="B1174" s="215" t="s">
        <v>242</v>
      </c>
      <c r="C1174" s="216" t="s">
        <v>23</v>
      </c>
    </row>
    <row r="1175" spans="1:9">
      <c r="A1175" s="220"/>
      <c r="B1175" s="221" t="s">
        <v>347</v>
      </c>
      <c r="C1175" s="222" t="s">
        <v>348</v>
      </c>
      <c r="D1175" s="223" t="s">
        <v>349</v>
      </c>
      <c r="E1175" s="223" t="s">
        <v>350</v>
      </c>
      <c r="I1175" s="219" t="s">
        <v>349</v>
      </c>
    </row>
    <row r="1176" spans="1:9" ht="26.4">
      <c r="A1176" s="224" t="s">
        <v>690</v>
      </c>
      <c r="B1176" s="225" t="s">
        <v>691</v>
      </c>
      <c r="C1176" s="226">
        <v>1</v>
      </c>
      <c r="D1176" s="227">
        <v>5.71</v>
      </c>
      <c r="E1176" s="228">
        <v>5.71</v>
      </c>
      <c r="I1176" s="219">
        <v>5.71</v>
      </c>
    </row>
    <row r="1177" spans="1:9">
      <c r="A1177" s="229" t="s">
        <v>692</v>
      </c>
      <c r="B1177" s="230" t="s">
        <v>693</v>
      </c>
      <c r="C1177" s="231">
        <v>4.5999999999999999E-2</v>
      </c>
      <c r="D1177" s="232">
        <v>11.23</v>
      </c>
      <c r="E1177" s="233">
        <v>0.51</v>
      </c>
      <c r="I1177" s="219">
        <v>11.23</v>
      </c>
    </row>
    <row r="1178" spans="1:9">
      <c r="A1178" s="229" t="s">
        <v>672</v>
      </c>
      <c r="B1178" s="230" t="s">
        <v>673</v>
      </c>
      <c r="C1178" s="231">
        <v>1.0999999999999999E-2</v>
      </c>
      <c r="D1178" s="232">
        <v>30.73</v>
      </c>
      <c r="E1178" s="233">
        <v>0.33</v>
      </c>
      <c r="I1178" s="219">
        <v>30.73</v>
      </c>
    </row>
    <row r="1179" spans="1:9">
      <c r="A1179" s="229" t="s">
        <v>666</v>
      </c>
      <c r="B1179" s="230" t="s">
        <v>667</v>
      </c>
      <c r="C1179" s="231">
        <v>1.4E-2</v>
      </c>
      <c r="D1179" s="232">
        <v>1.39</v>
      </c>
      <c r="E1179" s="233">
        <v>0.01</v>
      </c>
      <c r="I1179" s="219">
        <v>1.39</v>
      </c>
    </row>
    <row r="1180" spans="1:9">
      <c r="A1180" s="229"/>
      <c r="B1180" s="230"/>
      <c r="C1180" s="231"/>
      <c r="D1180" s="232" t="s">
        <v>361</v>
      </c>
      <c r="E1180" s="233">
        <v>6.56</v>
      </c>
      <c r="I1180" s="219" t="s">
        <v>361</v>
      </c>
    </row>
    <row r="1181" spans="1:9" ht="26.4">
      <c r="A1181" s="229" t="s">
        <v>660</v>
      </c>
      <c r="B1181" s="230" t="s">
        <v>661</v>
      </c>
      <c r="C1181" s="231">
        <v>0.13600000000000001</v>
      </c>
      <c r="D1181" s="232">
        <v>9.52</v>
      </c>
      <c r="E1181" s="233">
        <v>1.29</v>
      </c>
      <c r="I1181" s="219">
        <v>9.52</v>
      </c>
    </row>
    <row r="1182" spans="1:9">
      <c r="A1182" s="229" t="s">
        <v>662</v>
      </c>
      <c r="B1182" s="230" t="s">
        <v>663</v>
      </c>
      <c r="C1182" s="231">
        <v>0.13600000000000001</v>
      </c>
      <c r="D1182" s="232">
        <v>12.12</v>
      </c>
      <c r="E1182" s="233">
        <v>1.64</v>
      </c>
      <c r="I1182" s="219">
        <v>12.12</v>
      </c>
    </row>
    <row r="1183" spans="1:9">
      <c r="A1183" s="229"/>
      <c r="B1183" s="230"/>
      <c r="C1183" s="231"/>
      <c r="D1183" s="232" t="s">
        <v>366</v>
      </c>
      <c r="E1183" s="233">
        <v>2.9299999999999997</v>
      </c>
      <c r="I1183" s="219" t="s">
        <v>366</v>
      </c>
    </row>
    <row r="1184" spans="1:9">
      <c r="A1184" s="229"/>
      <c r="B1184" s="230"/>
      <c r="C1184" s="231"/>
      <c r="D1184" s="232" t="s">
        <v>367</v>
      </c>
      <c r="E1184" s="233">
        <v>9.4899999999999984</v>
      </c>
      <c r="I1184" s="219" t="s">
        <v>367</v>
      </c>
    </row>
    <row r="1185" spans="1:9">
      <c r="A1185" s="229"/>
      <c r="B1185" s="230"/>
      <c r="C1185" s="231"/>
      <c r="D1185" s="232" t="s">
        <v>1045</v>
      </c>
      <c r="E1185" s="233">
        <v>2.73</v>
      </c>
      <c r="I1185" s="219" t="s">
        <v>1045</v>
      </c>
    </row>
    <row r="1186" spans="1:9">
      <c r="A1186" s="229"/>
      <c r="B1186" s="230"/>
      <c r="C1186" s="231"/>
      <c r="D1186" s="234" t="s">
        <v>196</v>
      </c>
      <c r="E1186" s="235">
        <v>12.219999999999999</v>
      </c>
      <c r="I1186" s="219" t="s">
        <v>196</v>
      </c>
    </row>
    <row r="1188" spans="1:9" ht="26.4">
      <c r="A1188" s="253" t="s">
        <v>927</v>
      </c>
      <c r="B1188" s="215" t="s">
        <v>227</v>
      </c>
      <c r="C1188" s="216" t="s">
        <v>23</v>
      </c>
    </row>
    <row r="1189" spans="1:9">
      <c r="A1189" s="255"/>
      <c r="B1189" s="237" t="s">
        <v>347</v>
      </c>
      <c r="C1189" s="238" t="s">
        <v>348</v>
      </c>
      <c r="D1189" s="239" t="s">
        <v>349</v>
      </c>
      <c r="E1189" s="239" t="s">
        <v>350</v>
      </c>
      <c r="I1189" s="219" t="s">
        <v>349</v>
      </c>
    </row>
    <row r="1190" spans="1:9">
      <c r="A1190" s="256" t="s">
        <v>694</v>
      </c>
      <c r="B1190" s="254" t="s">
        <v>827</v>
      </c>
      <c r="C1190" s="226">
        <v>1</v>
      </c>
      <c r="D1190" s="227">
        <v>2223.2399999999998</v>
      </c>
      <c r="E1190" s="228">
        <v>2223.2399999999998</v>
      </c>
      <c r="I1190" s="219">
        <v>2223.2399999999998</v>
      </c>
    </row>
    <row r="1191" spans="1:9">
      <c r="A1191" s="257"/>
      <c r="B1191" s="230"/>
      <c r="C1191" s="231"/>
      <c r="D1191" s="232" t="s">
        <v>361</v>
      </c>
      <c r="E1191" s="233">
        <v>2223.2399999999998</v>
      </c>
      <c r="I1191" s="219" t="s">
        <v>361</v>
      </c>
    </row>
    <row r="1192" spans="1:9">
      <c r="A1192" s="257"/>
      <c r="B1192" s="230"/>
      <c r="C1192" s="231"/>
      <c r="D1192" s="232" t="s">
        <v>367</v>
      </c>
      <c r="E1192" s="233">
        <v>2223.2399999999998</v>
      </c>
      <c r="I1192" s="219" t="s">
        <v>367</v>
      </c>
    </row>
    <row r="1193" spans="1:9">
      <c r="A1193" s="257"/>
      <c r="B1193" s="230"/>
      <c r="C1193" s="231"/>
      <c r="D1193" s="232" t="s">
        <v>1045</v>
      </c>
      <c r="E1193" s="233">
        <v>640.73</v>
      </c>
      <c r="I1193" s="219" t="s">
        <v>1045</v>
      </c>
    </row>
    <row r="1194" spans="1:9">
      <c r="A1194" s="257"/>
      <c r="B1194" s="230"/>
      <c r="C1194" s="231"/>
      <c r="D1194" s="234" t="s">
        <v>196</v>
      </c>
      <c r="E1194" s="235">
        <v>2863.97</v>
      </c>
      <c r="I1194" s="219" t="s">
        <v>196</v>
      </c>
    </row>
    <row r="1195" spans="1:9">
      <c r="A1195" s="253"/>
    </row>
    <row r="1196" spans="1:9" ht="26.4">
      <c r="A1196" s="253" t="s">
        <v>928</v>
      </c>
      <c r="B1196" s="215" t="s">
        <v>244</v>
      </c>
      <c r="C1196" s="216" t="s">
        <v>23</v>
      </c>
    </row>
    <row r="1197" spans="1:9">
      <c r="A1197" s="255"/>
      <c r="B1197" s="237" t="s">
        <v>347</v>
      </c>
      <c r="C1197" s="238" t="s">
        <v>348</v>
      </c>
      <c r="D1197" s="239" t="s">
        <v>349</v>
      </c>
      <c r="E1197" s="239" t="s">
        <v>350</v>
      </c>
      <c r="I1197" s="219" t="s">
        <v>349</v>
      </c>
    </row>
    <row r="1198" spans="1:9">
      <c r="A1198" s="256" t="s">
        <v>668</v>
      </c>
      <c r="B1198" s="254" t="s">
        <v>669</v>
      </c>
      <c r="C1198" s="226">
        <v>1</v>
      </c>
      <c r="D1198" s="227">
        <v>35.39</v>
      </c>
      <c r="E1198" s="228">
        <v>35.39</v>
      </c>
      <c r="I1198" s="219">
        <v>35.39</v>
      </c>
    </row>
    <row r="1199" spans="1:9">
      <c r="A1199" s="257"/>
      <c r="B1199" s="230"/>
      <c r="C1199" s="231"/>
      <c r="D1199" s="232" t="s">
        <v>361</v>
      </c>
      <c r="E1199" s="233">
        <v>35.39</v>
      </c>
      <c r="I1199" s="219" t="s">
        <v>361</v>
      </c>
    </row>
    <row r="1200" spans="1:9">
      <c r="A1200" s="257"/>
      <c r="B1200" s="230"/>
      <c r="C1200" s="231"/>
      <c r="D1200" s="232" t="s">
        <v>367</v>
      </c>
      <c r="E1200" s="233">
        <v>35.39</v>
      </c>
      <c r="I1200" s="219" t="s">
        <v>367</v>
      </c>
    </row>
    <row r="1201" spans="1:9">
      <c r="A1201" s="257"/>
      <c r="B1201" s="230"/>
      <c r="C1201" s="231"/>
      <c r="D1201" s="232" t="s">
        <v>1045</v>
      </c>
      <c r="E1201" s="233">
        <v>10.19</v>
      </c>
      <c r="I1201" s="219" t="s">
        <v>1045</v>
      </c>
    </row>
    <row r="1202" spans="1:9">
      <c r="A1202" s="257"/>
      <c r="B1202" s="230"/>
      <c r="C1202" s="231"/>
      <c r="D1202" s="234" t="s">
        <v>196</v>
      </c>
      <c r="E1202" s="235">
        <v>45.58</v>
      </c>
      <c r="I1202" s="219" t="s">
        <v>196</v>
      </c>
    </row>
    <row r="1203" spans="1:9">
      <c r="A1203" s="253"/>
    </row>
    <row r="1204" spans="1:9" ht="26.4">
      <c r="A1204" s="253" t="s">
        <v>929</v>
      </c>
      <c r="B1204" s="215" t="s">
        <v>245</v>
      </c>
      <c r="C1204" s="216" t="s">
        <v>23</v>
      </c>
    </row>
    <row r="1205" spans="1:9">
      <c r="A1205" s="255"/>
      <c r="B1205" s="237" t="s">
        <v>347</v>
      </c>
      <c r="C1205" s="238" t="s">
        <v>348</v>
      </c>
      <c r="D1205" s="239" t="s">
        <v>349</v>
      </c>
      <c r="E1205" s="239" t="s">
        <v>350</v>
      </c>
      <c r="I1205" s="219" t="s">
        <v>349</v>
      </c>
    </row>
    <row r="1206" spans="1:9">
      <c r="A1206" s="256" t="s">
        <v>672</v>
      </c>
      <c r="B1206" s="254" t="s">
        <v>673</v>
      </c>
      <c r="C1206" s="226">
        <v>1</v>
      </c>
      <c r="D1206" s="227">
        <v>30.73</v>
      </c>
      <c r="E1206" s="228">
        <v>30.73</v>
      </c>
      <c r="I1206" s="219">
        <v>30.73</v>
      </c>
    </row>
    <row r="1207" spans="1:9">
      <c r="A1207" s="257"/>
      <c r="B1207" s="230"/>
      <c r="C1207" s="231"/>
      <c r="D1207" s="232" t="s">
        <v>361</v>
      </c>
      <c r="E1207" s="233">
        <v>30.73</v>
      </c>
      <c r="I1207" s="219" t="s">
        <v>361</v>
      </c>
    </row>
    <row r="1208" spans="1:9">
      <c r="A1208" s="257"/>
      <c r="B1208" s="230"/>
      <c r="C1208" s="231"/>
      <c r="D1208" s="232" t="s">
        <v>367</v>
      </c>
      <c r="E1208" s="233">
        <v>30.73</v>
      </c>
      <c r="I1208" s="219" t="s">
        <v>367</v>
      </c>
    </row>
    <row r="1209" spans="1:9">
      <c r="A1209" s="257"/>
      <c r="B1209" s="230"/>
      <c r="C1209" s="231"/>
      <c r="D1209" s="232" t="s">
        <v>1045</v>
      </c>
      <c r="E1209" s="233">
        <v>8.85</v>
      </c>
      <c r="I1209" s="219" t="s">
        <v>1045</v>
      </c>
    </row>
    <row r="1210" spans="1:9">
      <c r="A1210" s="257"/>
      <c r="B1210" s="230"/>
      <c r="C1210" s="231"/>
      <c r="D1210" s="234" t="s">
        <v>196</v>
      </c>
      <c r="E1210" s="235">
        <v>39.58</v>
      </c>
      <c r="I1210" s="219" t="s">
        <v>196</v>
      </c>
    </row>
    <row r="1211" spans="1:9">
      <c r="A1211" s="253"/>
    </row>
    <row r="1212" spans="1:9" ht="26.4">
      <c r="A1212" s="253" t="s">
        <v>930</v>
      </c>
      <c r="B1212" s="215" t="s">
        <v>246</v>
      </c>
      <c r="C1212" s="216" t="s">
        <v>23</v>
      </c>
    </row>
    <row r="1213" spans="1:9">
      <c r="A1213" s="255"/>
      <c r="B1213" s="237" t="s">
        <v>347</v>
      </c>
      <c r="C1213" s="238" t="s">
        <v>348</v>
      </c>
      <c r="D1213" s="239" t="s">
        <v>349</v>
      </c>
      <c r="E1213" s="239" t="s">
        <v>350</v>
      </c>
      <c r="I1213" s="219" t="s">
        <v>349</v>
      </c>
    </row>
    <row r="1214" spans="1:9">
      <c r="A1214" s="256" t="s">
        <v>666</v>
      </c>
      <c r="B1214" s="254" t="s">
        <v>667</v>
      </c>
      <c r="C1214" s="226">
        <v>1</v>
      </c>
      <c r="D1214" s="227">
        <v>1.39</v>
      </c>
      <c r="E1214" s="228">
        <v>1.39</v>
      </c>
      <c r="I1214" s="219">
        <v>1.39</v>
      </c>
    </row>
    <row r="1215" spans="1:9">
      <c r="A1215" s="257"/>
      <c r="B1215" s="230"/>
      <c r="C1215" s="231"/>
      <c r="D1215" s="232" t="s">
        <v>361</v>
      </c>
      <c r="E1215" s="233">
        <v>1.39</v>
      </c>
      <c r="I1215" s="219" t="s">
        <v>361</v>
      </c>
    </row>
    <row r="1216" spans="1:9">
      <c r="A1216" s="257"/>
      <c r="B1216" s="230"/>
      <c r="C1216" s="231"/>
      <c r="D1216" s="232" t="s">
        <v>367</v>
      </c>
      <c r="E1216" s="233">
        <v>1.39</v>
      </c>
      <c r="I1216" s="219" t="s">
        <v>367</v>
      </c>
    </row>
    <row r="1217" spans="1:9">
      <c r="A1217" s="257"/>
      <c r="B1217" s="230"/>
      <c r="C1217" s="231"/>
      <c r="D1217" s="232" t="s">
        <v>1045</v>
      </c>
      <c r="E1217" s="233">
        <v>0.4</v>
      </c>
      <c r="I1217" s="219" t="s">
        <v>1045</v>
      </c>
    </row>
    <row r="1218" spans="1:9">
      <c r="A1218" s="257"/>
      <c r="B1218" s="230"/>
      <c r="C1218" s="231"/>
      <c r="D1218" s="234" t="s">
        <v>196</v>
      </c>
      <c r="E1218" s="235">
        <v>1.79</v>
      </c>
      <c r="I1218" s="219" t="s">
        <v>196</v>
      </c>
    </row>
    <row r="1219" spans="1:9">
      <c r="A1219" s="253"/>
    </row>
    <row r="1220" spans="1:9" ht="26.4">
      <c r="A1220" s="253" t="s">
        <v>931</v>
      </c>
      <c r="B1220" s="215" t="s">
        <v>247</v>
      </c>
      <c r="C1220" s="216" t="s">
        <v>23</v>
      </c>
    </row>
    <row r="1221" spans="1:9">
      <c r="A1221" s="255"/>
      <c r="B1221" s="237" t="s">
        <v>347</v>
      </c>
      <c r="C1221" s="238" t="s">
        <v>348</v>
      </c>
      <c r="D1221" s="239" t="s">
        <v>349</v>
      </c>
      <c r="E1221" s="239" t="s">
        <v>350</v>
      </c>
      <c r="I1221" s="219" t="s">
        <v>349</v>
      </c>
    </row>
    <row r="1222" spans="1:9">
      <c r="A1222" s="256" t="s">
        <v>684</v>
      </c>
      <c r="B1222" s="254" t="s">
        <v>685</v>
      </c>
      <c r="C1222" s="226">
        <v>1</v>
      </c>
      <c r="D1222" s="227">
        <v>9.19</v>
      </c>
      <c r="E1222" s="228">
        <v>9.19</v>
      </c>
      <c r="I1222" s="219">
        <v>9.19</v>
      </c>
    </row>
    <row r="1223" spans="1:9">
      <c r="A1223" s="229"/>
      <c r="B1223" s="230"/>
      <c r="C1223" s="231"/>
      <c r="D1223" s="232" t="s">
        <v>361</v>
      </c>
      <c r="E1223" s="233">
        <v>9.19</v>
      </c>
      <c r="I1223" s="219" t="s">
        <v>361</v>
      </c>
    </row>
    <row r="1224" spans="1:9">
      <c r="A1224" s="229"/>
      <c r="B1224" s="230"/>
      <c r="C1224" s="231"/>
      <c r="D1224" s="232" t="s">
        <v>367</v>
      </c>
      <c r="E1224" s="233">
        <v>9.19</v>
      </c>
      <c r="I1224" s="219" t="s">
        <v>367</v>
      </c>
    </row>
    <row r="1225" spans="1:9">
      <c r="A1225" s="229"/>
      <c r="B1225" s="230"/>
      <c r="C1225" s="231"/>
      <c r="D1225" s="232" t="s">
        <v>1045</v>
      </c>
      <c r="E1225" s="233">
        <v>2.64</v>
      </c>
      <c r="I1225" s="219" t="s">
        <v>1045</v>
      </c>
    </row>
    <row r="1226" spans="1:9">
      <c r="A1226" s="229"/>
      <c r="B1226" s="230"/>
      <c r="C1226" s="231"/>
      <c r="D1226" s="234" t="s">
        <v>196</v>
      </c>
      <c r="E1226" s="235">
        <v>11.83</v>
      </c>
      <c r="I1226" s="219" t="s">
        <v>196</v>
      </c>
    </row>
    <row r="1228" spans="1:9" ht="26.4">
      <c r="A1228" s="214" t="s">
        <v>932</v>
      </c>
      <c r="B1228" s="215" t="s">
        <v>121</v>
      </c>
      <c r="C1228" s="216" t="s">
        <v>32</v>
      </c>
    </row>
    <row r="1229" spans="1:9">
      <c r="A1229" s="220"/>
      <c r="B1229" s="221" t="s">
        <v>347</v>
      </c>
      <c r="C1229" s="222" t="s">
        <v>348</v>
      </c>
      <c r="D1229" s="223" t="s">
        <v>349</v>
      </c>
      <c r="E1229" s="223" t="s">
        <v>350</v>
      </c>
      <c r="I1229" s="219" t="s">
        <v>349</v>
      </c>
    </row>
    <row r="1230" spans="1:9">
      <c r="A1230" s="224" t="s">
        <v>695</v>
      </c>
      <c r="B1230" s="225" t="s">
        <v>696</v>
      </c>
      <c r="C1230" s="226">
        <v>1.05</v>
      </c>
      <c r="D1230" s="227">
        <v>2.31</v>
      </c>
      <c r="E1230" s="228">
        <v>2.42</v>
      </c>
      <c r="I1230" s="219">
        <v>2.31</v>
      </c>
    </row>
    <row r="1231" spans="1:9">
      <c r="A1231" s="229" t="s">
        <v>666</v>
      </c>
      <c r="B1231" s="230" t="s">
        <v>667</v>
      </c>
      <c r="C1231" s="231">
        <v>0.1</v>
      </c>
      <c r="D1231" s="232">
        <v>1.39</v>
      </c>
      <c r="E1231" s="233">
        <v>0.13</v>
      </c>
      <c r="I1231" s="219">
        <v>1.39</v>
      </c>
    </row>
    <row r="1232" spans="1:9">
      <c r="A1232" s="229"/>
      <c r="B1232" s="230"/>
      <c r="C1232" s="231"/>
      <c r="D1232" s="232" t="s">
        <v>361</v>
      </c>
      <c r="E1232" s="233">
        <v>2.5499999999999998</v>
      </c>
      <c r="I1232" s="219" t="s">
        <v>361</v>
      </c>
    </row>
    <row r="1233" spans="1:9" ht="26.4">
      <c r="A1233" s="229" t="s">
        <v>660</v>
      </c>
      <c r="B1233" s="230" t="s">
        <v>661</v>
      </c>
      <c r="C1233" s="231">
        <v>0.3</v>
      </c>
      <c r="D1233" s="232">
        <v>9.52</v>
      </c>
      <c r="E1233" s="233">
        <v>2.85</v>
      </c>
      <c r="I1233" s="219">
        <v>9.52</v>
      </c>
    </row>
    <row r="1234" spans="1:9">
      <c r="A1234" s="229" t="s">
        <v>662</v>
      </c>
      <c r="B1234" s="230" t="s">
        <v>663</v>
      </c>
      <c r="C1234" s="231">
        <v>0.3</v>
      </c>
      <c r="D1234" s="232">
        <v>12.12</v>
      </c>
      <c r="E1234" s="233">
        <v>3.63</v>
      </c>
      <c r="I1234" s="219">
        <v>12.12</v>
      </c>
    </row>
    <row r="1235" spans="1:9">
      <c r="A1235" s="229"/>
      <c r="B1235" s="230"/>
      <c r="C1235" s="231"/>
      <c r="D1235" s="232" t="s">
        <v>366</v>
      </c>
      <c r="E1235" s="233">
        <v>6.48</v>
      </c>
      <c r="I1235" s="219" t="s">
        <v>366</v>
      </c>
    </row>
    <row r="1236" spans="1:9">
      <c r="A1236" s="229"/>
      <c r="B1236" s="230"/>
      <c r="C1236" s="231"/>
      <c r="D1236" s="232" t="s">
        <v>367</v>
      </c>
      <c r="E1236" s="233">
        <v>9.0300000000000011</v>
      </c>
      <c r="I1236" s="219" t="s">
        <v>367</v>
      </c>
    </row>
    <row r="1237" spans="1:9">
      <c r="A1237" s="229"/>
      <c r="B1237" s="230"/>
      <c r="C1237" s="231"/>
      <c r="D1237" s="232" t="s">
        <v>1045</v>
      </c>
      <c r="E1237" s="233">
        <v>2.6</v>
      </c>
      <c r="I1237" s="219" t="s">
        <v>1045</v>
      </c>
    </row>
    <row r="1238" spans="1:9">
      <c r="A1238" s="229"/>
      <c r="B1238" s="230"/>
      <c r="C1238" s="231"/>
      <c r="D1238" s="234" t="s">
        <v>196</v>
      </c>
      <c r="E1238" s="235">
        <v>11.63</v>
      </c>
      <c r="I1238" s="219" t="s">
        <v>196</v>
      </c>
    </row>
    <row r="1240" spans="1:9" ht="26.4">
      <c r="A1240" s="214" t="s">
        <v>933</v>
      </c>
      <c r="B1240" s="215" t="s">
        <v>122</v>
      </c>
      <c r="C1240" s="216" t="s">
        <v>32</v>
      </c>
    </row>
    <row r="1241" spans="1:9">
      <c r="A1241" s="220"/>
      <c r="B1241" s="221" t="s">
        <v>347</v>
      </c>
      <c r="C1241" s="222" t="s">
        <v>348</v>
      </c>
      <c r="D1241" s="223" t="s">
        <v>349</v>
      </c>
      <c r="E1241" s="223" t="s">
        <v>350</v>
      </c>
      <c r="I1241" s="219" t="s">
        <v>349</v>
      </c>
    </row>
    <row r="1242" spans="1:9">
      <c r="A1242" s="224" t="s">
        <v>668</v>
      </c>
      <c r="B1242" s="225" t="s">
        <v>669</v>
      </c>
      <c r="C1242" s="226">
        <v>1.0800000000000001E-2</v>
      </c>
      <c r="D1242" s="227">
        <v>35.39</v>
      </c>
      <c r="E1242" s="228">
        <v>0.38</v>
      </c>
      <c r="I1242" s="219">
        <v>35.39</v>
      </c>
    </row>
    <row r="1243" spans="1:9">
      <c r="A1243" s="229" t="s">
        <v>697</v>
      </c>
      <c r="B1243" s="230" t="s">
        <v>698</v>
      </c>
      <c r="C1243" s="231">
        <v>1.05</v>
      </c>
      <c r="D1243" s="232">
        <v>3.93</v>
      </c>
      <c r="E1243" s="233">
        <v>4.12</v>
      </c>
      <c r="I1243" s="219">
        <v>3.93</v>
      </c>
    </row>
    <row r="1244" spans="1:9">
      <c r="A1244" s="229" t="s">
        <v>672</v>
      </c>
      <c r="B1244" s="230" t="s">
        <v>673</v>
      </c>
      <c r="C1244" s="231">
        <v>1.6299999999999999E-2</v>
      </c>
      <c r="D1244" s="232">
        <v>30.73</v>
      </c>
      <c r="E1244" s="233">
        <v>0.5</v>
      </c>
      <c r="I1244" s="219">
        <v>30.73</v>
      </c>
    </row>
    <row r="1245" spans="1:9">
      <c r="A1245" s="229" t="s">
        <v>666</v>
      </c>
      <c r="B1245" s="230" t="s">
        <v>667</v>
      </c>
      <c r="C1245" s="231">
        <v>0.127</v>
      </c>
      <c r="D1245" s="232">
        <v>1.39</v>
      </c>
      <c r="E1245" s="233">
        <v>0.17</v>
      </c>
      <c r="I1245" s="219">
        <v>1.39</v>
      </c>
    </row>
    <row r="1246" spans="1:9">
      <c r="A1246" s="229"/>
      <c r="B1246" s="230"/>
      <c r="C1246" s="231"/>
      <c r="D1246" s="232" t="s">
        <v>361</v>
      </c>
      <c r="E1246" s="233">
        <v>5.17</v>
      </c>
      <c r="I1246" s="219" t="s">
        <v>361</v>
      </c>
    </row>
    <row r="1247" spans="1:9" ht="26.4">
      <c r="A1247" s="229" t="s">
        <v>660</v>
      </c>
      <c r="B1247" s="230" t="s">
        <v>661</v>
      </c>
      <c r="C1247" s="231">
        <v>0.38</v>
      </c>
      <c r="D1247" s="232">
        <v>9.52</v>
      </c>
      <c r="E1247" s="233">
        <v>3.61</v>
      </c>
      <c r="I1247" s="219">
        <v>9.52</v>
      </c>
    </row>
    <row r="1248" spans="1:9">
      <c r="A1248" s="229" t="s">
        <v>662</v>
      </c>
      <c r="B1248" s="230" t="s">
        <v>663</v>
      </c>
      <c r="C1248" s="231">
        <v>0.38</v>
      </c>
      <c r="D1248" s="232">
        <v>12.12</v>
      </c>
      <c r="E1248" s="233">
        <v>4.5999999999999996</v>
      </c>
      <c r="I1248" s="219">
        <v>12.12</v>
      </c>
    </row>
    <row r="1249" spans="1:9">
      <c r="A1249" s="229"/>
      <c r="B1249" s="230"/>
      <c r="C1249" s="231"/>
      <c r="D1249" s="232" t="s">
        <v>366</v>
      </c>
      <c r="E1249" s="233">
        <v>8.2099999999999991</v>
      </c>
      <c r="I1249" s="219" t="s">
        <v>366</v>
      </c>
    </row>
    <row r="1250" spans="1:9">
      <c r="A1250" s="229"/>
      <c r="B1250" s="230"/>
      <c r="C1250" s="231"/>
      <c r="D1250" s="232" t="s">
        <v>367</v>
      </c>
      <c r="E1250" s="233">
        <v>13.379999999999999</v>
      </c>
      <c r="I1250" s="219" t="s">
        <v>367</v>
      </c>
    </row>
    <row r="1251" spans="1:9">
      <c r="A1251" s="229"/>
      <c r="B1251" s="230"/>
      <c r="C1251" s="231"/>
      <c r="D1251" s="232" t="s">
        <v>1045</v>
      </c>
      <c r="E1251" s="233">
        <v>3.85</v>
      </c>
      <c r="I1251" s="219" t="s">
        <v>1045</v>
      </c>
    </row>
    <row r="1252" spans="1:9">
      <c r="A1252" s="229"/>
      <c r="B1252" s="230"/>
      <c r="C1252" s="231"/>
      <c r="D1252" s="234" t="s">
        <v>196</v>
      </c>
      <c r="E1252" s="235">
        <v>17.23</v>
      </c>
      <c r="I1252" s="219" t="s">
        <v>196</v>
      </c>
    </row>
    <row r="1254" spans="1:9" ht="26.4">
      <c r="A1254" s="214" t="s">
        <v>934</v>
      </c>
      <c r="B1254" s="215" t="s">
        <v>120</v>
      </c>
      <c r="C1254" s="216" t="s">
        <v>32</v>
      </c>
    </row>
    <row r="1255" spans="1:9">
      <c r="A1255" s="220"/>
      <c r="B1255" s="221" t="s">
        <v>347</v>
      </c>
      <c r="C1255" s="222" t="s">
        <v>348</v>
      </c>
      <c r="D1255" s="223" t="s">
        <v>349</v>
      </c>
      <c r="E1255" s="223" t="s">
        <v>350</v>
      </c>
      <c r="I1255" s="219" t="s">
        <v>349</v>
      </c>
    </row>
    <row r="1256" spans="1:9">
      <c r="A1256" s="224" t="s">
        <v>668</v>
      </c>
      <c r="B1256" s="225" t="s">
        <v>669</v>
      </c>
      <c r="C1256" s="226">
        <v>3.6299999999999999E-2</v>
      </c>
      <c r="D1256" s="227">
        <v>35.39</v>
      </c>
      <c r="E1256" s="228">
        <v>1.28</v>
      </c>
      <c r="I1256" s="219">
        <v>35.39</v>
      </c>
    </row>
    <row r="1257" spans="1:9">
      <c r="A1257" s="229" t="s">
        <v>699</v>
      </c>
      <c r="B1257" s="230" t="s">
        <v>700</v>
      </c>
      <c r="C1257" s="231">
        <v>1.05</v>
      </c>
      <c r="D1257" s="232">
        <v>6.41</v>
      </c>
      <c r="E1257" s="233">
        <v>6.73</v>
      </c>
      <c r="I1257" s="219">
        <v>6.41</v>
      </c>
    </row>
    <row r="1258" spans="1:9">
      <c r="A1258" s="229" t="s">
        <v>672</v>
      </c>
      <c r="B1258" s="230" t="s">
        <v>673</v>
      </c>
      <c r="C1258" s="231">
        <v>5.9299999999999999E-2</v>
      </c>
      <c r="D1258" s="232">
        <v>30.73</v>
      </c>
      <c r="E1258" s="233">
        <v>1.82</v>
      </c>
      <c r="I1258" s="219">
        <v>30.73</v>
      </c>
    </row>
    <row r="1259" spans="1:9">
      <c r="A1259" s="229" t="s">
        <v>666</v>
      </c>
      <c r="B1259" s="230" t="s">
        <v>667</v>
      </c>
      <c r="C1259" s="231">
        <v>0.247</v>
      </c>
      <c r="D1259" s="232">
        <v>1.39</v>
      </c>
      <c r="E1259" s="233">
        <v>0.34</v>
      </c>
      <c r="I1259" s="219">
        <v>1.39</v>
      </c>
    </row>
    <row r="1260" spans="1:9">
      <c r="A1260" s="229"/>
      <c r="B1260" s="230"/>
      <c r="C1260" s="231"/>
      <c r="D1260" s="232" t="s">
        <v>361</v>
      </c>
      <c r="E1260" s="233">
        <v>10.17</v>
      </c>
      <c r="I1260" s="219" t="s">
        <v>361</v>
      </c>
    </row>
    <row r="1261" spans="1:9" ht="26.4">
      <c r="A1261" s="229" t="s">
        <v>660</v>
      </c>
      <c r="B1261" s="230" t="s">
        <v>661</v>
      </c>
      <c r="C1261" s="231">
        <v>0.74</v>
      </c>
      <c r="D1261" s="232">
        <v>9.52</v>
      </c>
      <c r="E1261" s="233">
        <v>7.04</v>
      </c>
      <c r="I1261" s="219">
        <v>9.52</v>
      </c>
    </row>
    <row r="1262" spans="1:9">
      <c r="A1262" s="229" t="s">
        <v>662</v>
      </c>
      <c r="B1262" s="230" t="s">
        <v>663</v>
      </c>
      <c r="C1262" s="231">
        <v>0.74</v>
      </c>
      <c r="D1262" s="232">
        <v>12.12</v>
      </c>
      <c r="E1262" s="233">
        <v>8.9600000000000009</v>
      </c>
      <c r="I1262" s="219">
        <v>12.12</v>
      </c>
    </row>
    <row r="1263" spans="1:9">
      <c r="A1263" s="229"/>
      <c r="B1263" s="230"/>
      <c r="C1263" s="231"/>
      <c r="D1263" s="232" t="s">
        <v>366</v>
      </c>
      <c r="E1263" s="233">
        <v>16</v>
      </c>
      <c r="I1263" s="219" t="s">
        <v>366</v>
      </c>
    </row>
    <row r="1264" spans="1:9">
      <c r="A1264" s="229"/>
      <c r="B1264" s="230"/>
      <c r="C1264" s="231"/>
      <c r="D1264" s="232" t="s">
        <v>367</v>
      </c>
      <c r="E1264" s="233">
        <v>26.17</v>
      </c>
      <c r="I1264" s="219" t="s">
        <v>367</v>
      </c>
    </row>
    <row r="1265" spans="1:9">
      <c r="A1265" s="229"/>
      <c r="B1265" s="230"/>
      <c r="C1265" s="231"/>
      <c r="D1265" s="232" t="s">
        <v>1045</v>
      </c>
      <c r="E1265" s="233">
        <v>7.54</v>
      </c>
      <c r="I1265" s="219" t="s">
        <v>1045</v>
      </c>
    </row>
    <row r="1266" spans="1:9">
      <c r="A1266" s="229"/>
      <c r="B1266" s="230"/>
      <c r="C1266" s="231"/>
      <c r="D1266" s="234" t="s">
        <v>196</v>
      </c>
      <c r="E1266" s="235">
        <v>33.71</v>
      </c>
      <c r="I1266" s="219" t="s">
        <v>196</v>
      </c>
    </row>
    <row r="1268" spans="1:9" ht="26.4">
      <c r="A1268" s="214" t="s">
        <v>935</v>
      </c>
      <c r="B1268" s="215" t="s">
        <v>123</v>
      </c>
      <c r="C1268" s="216" t="s">
        <v>23</v>
      </c>
    </row>
    <row r="1269" spans="1:9">
      <c r="A1269" s="220"/>
      <c r="B1269" s="221" t="s">
        <v>347</v>
      </c>
      <c r="C1269" s="222" t="s">
        <v>348</v>
      </c>
      <c r="D1269" s="223" t="s">
        <v>349</v>
      </c>
      <c r="E1269" s="223" t="s">
        <v>350</v>
      </c>
      <c r="I1269" s="219" t="s">
        <v>349</v>
      </c>
    </row>
    <row r="1270" spans="1:9">
      <c r="A1270" s="224" t="s">
        <v>668</v>
      </c>
      <c r="B1270" s="225" t="s">
        <v>669</v>
      </c>
      <c r="C1270" s="226">
        <v>9.9000000000000008E-3</v>
      </c>
      <c r="D1270" s="227">
        <v>35.39</v>
      </c>
      <c r="E1270" s="228">
        <v>0.35</v>
      </c>
      <c r="I1270" s="219">
        <v>35.39</v>
      </c>
    </row>
    <row r="1271" spans="1:9">
      <c r="A1271" s="229" t="s">
        <v>701</v>
      </c>
      <c r="B1271" s="230" t="s">
        <v>702</v>
      </c>
      <c r="C1271" s="231">
        <v>1</v>
      </c>
      <c r="D1271" s="232">
        <v>0.46</v>
      </c>
      <c r="E1271" s="233">
        <v>0.46</v>
      </c>
      <c r="I1271" s="219">
        <v>0.46</v>
      </c>
    </row>
    <row r="1272" spans="1:9">
      <c r="A1272" s="229" t="s">
        <v>672</v>
      </c>
      <c r="B1272" s="230" t="s">
        <v>673</v>
      </c>
      <c r="C1272" s="231">
        <v>1.4999999999999999E-2</v>
      </c>
      <c r="D1272" s="232">
        <v>30.73</v>
      </c>
      <c r="E1272" s="233">
        <v>0.46</v>
      </c>
      <c r="I1272" s="219">
        <v>30.73</v>
      </c>
    </row>
    <row r="1273" spans="1:9">
      <c r="A1273" s="229" t="s">
        <v>666</v>
      </c>
      <c r="B1273" s="230" t="s">
        <v>667</v>
      </c>
      <c r="C1273" s="231">
        <v>2.1000000000000001E-2</v>
      </c>
      <c r="D1273" s="232">
        <v>1.39</v>
      </c>
      <c r="E1273" s="233">
        <v>0.02</v>
      </c>
      <c r="I1273" s="219">
        <v>1.39</v>
      </c>
    </row>
    <row r="1274" spans="1:9">
      <c r="A1274" s="229"/>
      <c r="B1274" s="230"/>
      <c r="C1274" s="231"/>
      <c r="D1274" s="232" t="s">
        <v>361</v>
      </c>
      <c r="E1274" s="233">
        <v>1.29</v>
      </c>
      <c r="I1274" s="219" t="s">
        <v>361</v>
      </c>
    </row>
    <row r="1275" spans="1:9" ht="26.4">
      <c r="A1275" s="229" t="s">
        <v>660</v>
      </c>
      <c r="B1275" s="230" t="s">
        <v>661</v>
      </c>
      <c r="C1275" s="231">
        <v>0.1</v>
      </c>
      <c r="D1275" s="232">
        <v>9.52</v>
      </c>
      <c r="E1275" s="233">
        <v>0.95</v>
      </c>
      <c r="I1275" s="219">
        <v>9.52</v>
      </c>
    </row>
    <row r="1276" spans="1:9">
      <c r="A1276" s="229" t="s">
        <v>662</v>
      </c>
      <c r="B1276" s="230" t="s">
        <v>663</v>
      </c>
      <c r="C1276" s="231">
        <v>0.1</v>
      </c>
      <c r="D1276" s="232">
        <v>12.12</v>
      </c>
      <c r="E1276" s="233">
        <v>1.21</v>
      </c>
      <c r="I1276" s="219">
        <v>12.12</v>
      </c>
    </row>
    <row r="1277" spans="1:9">
      <c r="A1277" s="229"/>
      <c r="B1277" s="230"/>
      <c r="C1277" s="231"/>
      <c r="D1277" s="232" t="s">
        <v>366</v>
      </c>
      <c r="E1277" s="233">
        <v>2.16</v>
      </c>
      <c r="I1277" s="219" t="s">
        <v>366</v>
      </c>
    </row>
    <row r="1278" spans="1:9">
      <c r="A1278" s="229"/>
      <c r="B1278" s="230"/>
      <c r="C1278" s="231"/>
      <c r="D1278" s="232" t="s">
        <v>367</v>
      </c>
      <c r="E1278" s="233">
        <v>3.45</v>
      </c>
      <c r="I1278" s="219" t="s">
        <v>367</v>
      </c>
    </row>
    <row r="1279" spans="1:9">
      <c r="A1279" s="229"/>
      <c r="B1279" s="230"/>
      <c r="C1279" s="231"/>
      <c r="D1279" s="232" t="s">
        <v>1045</v>
      </c>
      <c r="E1279" s="233">
        <v>0.99</v>
      </c>
      <c r="I1279" s="219" t="s">
        <v>1045</v>
      </c>
    </row>
    <row r="1280" spans="1:9">
      <c r="A1280" s="229"/>
      <c r="B1280" s="230"/>
      <c r="C1280" s="231"/>
      <c r="D1280" s="234" t="s">
        <v>196</v>
      </c>
      <c r="E1280" s="235">
        <v>4.4400000000000004</v>
      </c>
      <c r="I1280" s="219" t="s">
        <v>196</v>
      </c>
    </row>
    <row r="1282" spans="1:9" ht="26.4">
      <c r="A1282" s="214" t="s">
        <v>936</v>
      </c>
      <c r="B1282" s="215" t="s">
        <v>139</v>
      </c>
      <c r="C1282" s="216" t="s">
        <v>23</v>
      </c>
    </row>
    <row r="1283" spans="1:9">
      <c r="A1283" s="220"/>
      <c r="B1283" s="221" t="s">
        <v>347</v>
      </c>
      <c r="C1283" s="222" t="s">
        <v>348</v>
      </c>
      <c r="D1283" s="223" t="s">
        <v>349</v>
      </c>
      <c r="E1283" s="223" t="s">
        <v>350</v>
      </c>
      <c r="I1283" s="219" t="s">
        <v>349</v>
      </c>
    </row>
    <row r="1284" spans="1:9">
      <c r="A1284" s="224" t="s">
        <v>703</v>
      </c>
      <c r="B1284" s="225" t="s">
        <v>704</v>
      </c>
      <c r="C1284" s="226">
        <v>1</v>
      </c>
      <c r="D1284" s="227">
        <v>2.0699999999999998</v>
      </c>
      <c r="E1284" s="228">
        <v>2.0699999999999998</v>
      </c>
      <c r="I1284" s="219">
        <v>2.0699999999999998</v>
      </c>
    </row>
    <row r="1285" spans="1:9" ht="26.4">
      <c r="A1285" s="229" t="s">
        <v>705</v>
      </c>
      <c r="B1285" s="230" t="s">
        <v>706</v>
      </c>
      <c r="C1285" s="231">
        <v>1</v>
      </c>
      <c r="D1285" s="232">
        <v>3.62</v>
      </c>
      <c r="E1285" s="233">
        <v>3.62</v>
      </c>
      <c r="I1285" s="219">
        <v>3.62</v>
      </c>
    </row>
    <row r="1286" spans="1:9" ht="26.4">
      <c r="A1286" s="229" t="s">
        <v>707</v>
      </c>
      <c r="B1286" s="230" t="s">
        <v>708</v>
      </c>
      <c r="C1286" s="231">
        <v>4.5999999999999999E-2</v>
      </c>
      <c r="D1286" s="232">
        <v>12.96</v>
      </c>
      <c r="E1286" s="233">
        <v>0.59</v>
      </c>
      <c r="I1286" s="219">
        <v>12.96</v>
      </c>
    </row>
    <row r="1287" spans="1:9">
      <c r="A1287" s="229"/>
      <c r="B1287" s="230"/>
      <c r="C1287" s="231"/>
      <c r="D1287" s="232" t="s">
        <v>361</v>
      </c>
      <c r="E1287" s="233">
        <v>6.2799999999999994</v>
      </c>
      <c r="I1287" s="219" t="s">
        <v>361</v>
      </c>
    </row>
    <row r="1288" spans="1:9" ht="26.4">
      <c r="A1288" s="229" t="s">
        <v>660</v>
      </c>
      <c r="B1288" s="230" t="s">
        <v>661</v>
      </c>
      <c r="C1288" s="231">
        <v>0.25</v>
      </c>
      <c r="D1288" s="232">
        <v>9.52</v>
      </c>
      <c r="E1288" s="233">
        <v>2.38</v>
      </c>
      <c r="I1288" s="219">
        <v>9.52</v>
      </c>
    </row>
    <row r="1289" spans="1:9">
      <c r="A1289" s="229" t="s">
        <v>662</v>
      </c>
      <c r="B1289" s="230" t="s">
        <v>663</v>
      </c>
      <c r="C1289" s="231">
        <v>0.25</v>
      </c>
      <c r="D1289" s="232">
        <v>12.12</v>
      </c>
      <c r="E1289" s="233">
        <v>3.03</v>
      </c>
      <c r="I1289" s="219">
        <v>12.12</v>
      </c>
    </row>
    <row r="1290" spans="1:9">
      <c r="A1290" s="229"/>
      <c r="B1290" s="230"/>
      <c r="C1290" s="231"/>
      <c r="D1290" s="232" t="s">
        <v>366</v>
      </c>
      <c r="E1290" s="233">
        <v>5.41</v>
      </c>
      <c r="I1290" s="219" t="s">
        <v>366</v>
      </c>
    </row>
    <row r="1291" spans="1:9">
      <c r="A1291" s="229"/>
      <c r="B1291" s="230"/>
      <c r="C1291" s="231"/>
      <c r="D1291" s="232" t="s">
        <v>367</v>
      </c>
      <c r="E1291" s="233">
        <v>11.69</v>
      </c>
      <c r="I1291" s="219" t="s">
        <v>367</v>
      </c>
    </row>
    <row r="1292" spans="1:9">
      <c r="A1292" s="229"/>
      <c r="B1292" s="230"/>
      <c r="C1292" s="231"/>
      <c r="D1292" s="232" t="s">
        <v>1045</v>
      </c>
      <c r="E1292" s="233">
        <v>3.36</v>
      </c>
      <c r="I1292" s="219" t="s">
        <v>1045</v>
      </c>
    </row>
    <row r="1293" spans="1:9">
      <c r="A1293" s="229"/>
      <c r="B1293" s="230"/>
      <c r="C1293" s="231"/>
      <c r="D1293" s="234" t="s">
        <v>196</v>
      </c>
      <c r="E1293" s="235">
        <v>15.049999999999999</v>
      </c>
      <c r="I1293" s="219" t="s">
        <v>196</v>
      </c>
    </row>
    <row r="1295" spans="1:9" ht="26.4">
      <c r="A1295" s="214" t="s">
        <v>937</v>
      </c>
      <c r="B1295" s="215" t="s">
        <v>124</v>
      </c>
      <c r="C1295" s="216" t="s">
        <v>23</v>
      </c>
    </row>
    <row r="1296" spans="1:9">
      <c r="A1296" s="220"/>
      <c r="B1296" s="221" t="s">
        <v>347</v>
      </c>
      <c r="C1296" s="222" t="s">
        <v>348</v>
      </c>
      <c r="D1296" s="223" t="s">
        <v>349</v>
      </c>
      <c r="E1296" s="223" t="s">
        <v>350</v>
      </c>
      <c r="I1296" s="219" t="s">
        <v>349</v>
      </c>
    </row>
    <row r="1297" spans="1:9">
      <c r="A1297" s="224" t="s">
        <v>668</v>
      </c>
      <c r="B1297" s="225" t="s">
        <v>669</v>
      </c>
      <c r="C1297" s="226">
        <v>9.9000000000000008E-3</v>
      </c>
      <c r="D1297" s="227">
        <v>35.39</v>
      </c>
      <c r="E1297" s="228">
        <v>0.35</v>
      </c>
      <c r="I1297" s="219">
        <v>35.39</v>
      </c>
    </row>
    <row r="1298" spans="1:9">
      <c r="A1298" s="229" t="s">
        <v>709</v>
      </c>
      <c r="B1298" s="230" t="s">
        <v>710</v>
      </c>
      <c r="C1298" s="231">
        <v>1</v>
      </c>
      <c r="D1298" s="232">
        <v>1.6</v>
      </c>
      <c r="E1298" s="233">
        <v>1.6</v>
      </c>
      <c r="I1298" s="219">
        <v>1.6</v>
      </c>
    </row>
    <row r="1299" spans="1:9">
      <c r="A1299" s="229" t="s">
        <v>672</v>
      </c>
      <c r="B1299" s="230" t="s">
        <v>673</v>
      </c>
      <c r="C1299" s="231">
        <v>1.4999999999999999E-2</v>
      </c>
      <c r="D1299" s="232">
        <v>30.73</v>
      </c>
      <c r="E1299" s="233">
        <v>0.46</v>
      </c>
      <c r="I1299" s="219">
        <v>30.73</v>
      </c>
    </row>
    <row r="1300" spans="1:9">
      <c r="A1300" s="229" t="s">
        <v>666</v>
      </c>
      <c r="B1300" s="230" t="s">
        <v>667</v>
      </c>
      <c r="C1300" s="231">
        <v>2.1000000000000001E-2</v>
      </c>
      <c r="D1300" s="232">
        <v>1.39</v>
      </c>
      <c r="E1300" s="233">
        <v>0.02</v>
      </c>
      <c r="I1300" s="219">
        <v>1.39</v>
      </c>
    </row>
    <row r="1301" spans="1:9">
      <c r="A1301" s="229"/>
      <c r="B1301" s="230"/>
      <c r="C1301" s="231"/>
      <c r="D1301" s="232" t="s">
        <v>361</v>
      </c>
      <c r="E1301" s="233">
        <v>2.4300000000000002</v>
      </c>
      <c r="I1301" s="219" t="s">
        <v>361</v>
      </c>
    </row>
    <row r="1302" spans="1:9" ht="26.4">
      <c r="A1302" s="229" t="s">
        <v>660</v>
      </c>
      <c r="B1302" s="230" t="s">
        <v>661</v>
      </c>
      <c r="C1302" s="231">
        <v>0.1</v>
      </c>
      <c r="D1302" s="232">
        <v>9.52</v>
      </c>
      <c r="E1302" s="233">
        <v>0.95</v>
      </c>
      <c r="I1302" s="219">
        <v>9.52</v>
      </c>
    </row>
    <row r="1303" spans="1:9">
      <c r="A1303" s="229" t="s">
        <v>662</v>
      </c>
      <c r="B1303" s="230" t="s">
        <v>663</v>
      </c>
      <c r="C1303" s="231">
        <v>0.1</v>
      </c>
      <c r="D1303" s="232">
        <v>12.12</v>
      </c>
      <c r="E1303" s="233">
        <v>1.21</v>
      </c>
      <c r="I1303" s="219">
        <v>12.12</v>
      </c>
    </row>
    <row r="1304" spans="1:9">
      <c r="A1304" s="229"/>
      <c r="B1304" s="230"/>
      <c r="C1304" s="231"/>
      <c r="D1304" s="232" t="s">
        <v>366</v>
      </c>
      <c r="E1304" s="233">
        <v>2.16</v>
      </c>
      <c r="I1304" s="219" t="s">
        <v>366</v>
      </c>
    </row>
    <row r="1305" spans="1:9">
      <c r="A1305" s="229"/>
      <c r="B1305" s="230"/>
      <c r="C1305" s="231"/>
      <c r="D1305" s="232" t="s">
        <v>367</v>
      </c>
      <c r="E1305" s="233">
        <v>4.59</v>
      </c>
      <c r="I1305" s="219" t="s">
        <v>367</v>
      </c>
    </row>
    <row r="1306" spans="1:9">
      <c r="A1306" s="229"/>
      <c r="B1306" s="230"/>
      <c r="C1306" s="231"/>
      <c r="D1306" s="232" t="s">
        <v>1045</v>
      </c>
      <c r="E1306" s="233">
        <v>1.32</v>
      </c>
      <c r="I1306" s="219" t="s">
        <v>1045</v>
      </c>
    </row>
    <row r="1307" spans="1:9">
      <c r="A1307" s="229"/>
      <c r="B1307" s="230"/>
      <c r="C1307" s="231"/>
      <c r="D1307" s="234" t="s">
        <v>196</v>
      </c>
      <c r="E1307" s="235">
        <v>5.91</v>
      </c>
      <c r="I1307" s="219" t="s">
        <v>196</v>
      </c>
    </row>
    <row r="1309" spans="1:9" ht="26.4">
      <c r="A1309" s="214" t="s">
        <v>938</v>
      </c>
      <c r="B1309" s="215" t="s">
        <v>236</v>
      </c>
      <c r="C1309" s="216" t="s">
        <v>23</v>
      </c>
    </row>
    <row r="1310" spans="1:9">
      <c r="A1310" s="220"/>
      <c r="B1310" s="221" t="s">
        <v>347</v>
      </c>
      <c r="C1310" s="222" t="s">
        <v>348</v>
      </c>
      <c r="D1310" s="223" t="s">
        <v>349</v>
      </c>
      <c r="E1310" s="223" t="s">
        <v>350</v>
      </c>
      <c r="I1310" s="219" t="s">
        <v>349</v>
      </c>
    </row>
    <row r="1311" spans="1:9">
      <c r="A1311" s="224" t="s">
        <v>711</v>
      </c>
      <c r="B1311" s="225" t="s">
        <v>712</v>
      </c>
      <c r="C1311" s="226">
        <v>1</v>
      </c>
      <c r="D1311" s="227">
        <v>1.17</v>
      </c>
      <c r="E1311" s="228">
        <v>1.17</v>
      </c>
      <c r="I1311" s="219">
        <v>1.17</v>
      </c>
    </row>
    <row r="1312" spans="1:9">
      <c r="A1312" s="229" t="s">
        <v>713</v>
      </c>
      <c r="B1312" s="230" t="s">
        <v>714</v>
      </c>
      <c r="C1312" s="231">
        <v>1</v>
      </c>
      <c r="D1312" s="232">
        <v>1.37</v>
      </c>
      <c r="E1312" s="233">
        <v>1.37</v>
      </c>
      <c r="I1312" s="219">
        <v>1.37</v>
      </c>
    </row>
    <row r="1313" spans="1:9" ht="26.4">
      <c r="A1313" s="229" t="s">
        <v>707</v>
      </c>
      <c r="B1313" s="230" t="s">
        <v>708</v>
      </c>
      <c r="C1313" s="231">
        <v>0.02</v>
      </c>
      <c r="D1313" s="232">
        <v>12.96</v>
      </c>
      <c r="E1313" s="233">
        <v>0.25</v>
      </c>
      <c r="I1313" s="219">
        <v>12.96</v>
      </c>
    </row>
    <row r="1314" spans="1:9">
      <c r="A1314" s="229"/>
      <c r="B1314" s="230"/>
      <c r="C1314" s="231"/>
      <c r="D1314" s="232" t="s">
        <v>361</v>
      </c>
      <c r="E1314" s="233">
        <v>2.79</v>
      </c>
      <c r="I1314" s="219" t="s">
        <v>361</v>
      </c>
    </row>
    <row r="1315" spans="1:9" ht="26.4">
      <c r="A1315" s="229" t="s">
        <v>660</v>
      </c>
      <c r="B1315" s="230" t="s">
        <v>661</v>
      </c>
      <c r="C1315" s="231">
        <v>0.13</v>
      </c>
      <c r="D1315" s="232">
        <v>9.52</v>
      </c>
      <c r="E1315" s="233">
        <v>1.23</v>
      </c>
      <c r="I1315" s="219">
        <v>9.52</v>
      </c>
    </row>
    <row r="1316" spans="1:9">
      <c r="A1316" s="229" t="s">
        <v>662</v>
      </c>
      <c r="B1316" s="230" t="s">
        <v>663</v>
      </c>
      <c r="C1316" s="231">
        <v>0.13</v>
      </c>
      <c r="D1316" s="232">
        <v>12.12</v>
      </c>
      <c r="E1316" s="233">
        <v>1.57</v>
      </c>
      <c r="I1316" s="219">
        <v>12.12</v>
      </c>
    </row>
    <row r="1317" spans="1:9">
      <c r="A1317" s="229"/>
      <c r="B1317" s="230"/>
      <c r="C1317" s="231"/>
      <c r="D1317" s="232" t="s">
        <v>366</v>
      </c>
      <c r="E1317" s="233">
        <v>2.8</v>
      </c>
      <c r="I1317" s="219" t="s">
        <v>366</v>
      </c>
    </row>
    <row r="1318" spans="1:9">
      <c r="A1318" s="229"/>
      <c r="B1318" s="230"/>
      <c r="C1318" s="231"/>
      <c r="D1318" s="232" t="s">
        <v>367</v>
      </c>
      <c r="E1318" s="233">
        <v>5.59</v>
      </c>
      <c r="I1318" s="219" t="s">
        <v>367</v>
      </c>
    </row>
    <row r="1319" spans="1:9">
      <c r="A1319" s="229"/>
      <c r="B1319" s="230"/>
      <c r="C1319" s="231"/>
      <c r="D1319" s="232" t="s">
        <v>1045</v>
      </c>
      <c r="E1319" s="233">
        <v>1.61</v>
      </c>
      <c r="I1319" s="219" t="s">
        <v>1045</v>
      </c>
    </row>
    <row r="1320" spans="1:9">
      <c r="A1320" s="229"/>
      <c r="B1320" s="230"/>
      <c r="C1320" s="231"/>
      <c r="D1320" s="234" t="s">
        <v>196</v>
      </c>
      <c r="E1320" s="235">
        <v>7.2</v>
      </c>
      <c r="I1320" s="219" t="s">
        <v>196</v>
      </c>
    </row>
    <row r="1322" spans="1:9" ht="26.4">
      <c r="A1322" s="214" t="s">
        <v>939</v>
      </c>
      <c r="B1322" s="215" t="s">
        <v>235</v>
      </c>
      <c r="C1322" s="216" t="s">
        <v>23</v>
      </c>
    </row>
    <row r="1323" spans="1:9">
      <c r="A1323" s="220"/>
      <c r="B1323" s="221" t="s">
        <v>347</v>
      </c>
      <c r="C1323" s="222" t="s">
        <v>348</v>
      </c>
      <c r="D1323" s="223" t="s">
        <v>349</v>
      </c>
      <c r="E1323" s="223" t="s">
        <v>350</v>
      </c>
      <c r="I1323" s="219" t="s">
        <v>349</v>
      </c>
    </row>
    <row r="1324" spans="1:9">
      <c r="A1324" s="224" t="s">
        <v>711</v>
      </c>
      <c r="B1324" s="225" t="s">
        <v>712</v>
      </c>
      <c r="C1324" s="226">
        <v>1</v>
      </c>
      <c r="D1324" s="227">
        <v>1.17</v>
      </c>
      <c r="E1324" s="228">
        <v>1.17</v>
      </c>
      <c r="I1324" s="219">
        <v>1.17</v>
      </c>
    </row>
    <row r="1325" spans="1:9">
      <c r="A1325" s="229" t="s">
        <v>715</v>
      </c>
      <c r="B1325" s="230" t="s">
        <v>716</v>
      </c>
      <c r="C1325" s="231">
        <v>1</v>
      </c>
      <c r="D1325" s="232">
        <v>4.29</v>
      </c>
      <c r="E1325" s="233">
        <v>4.29</v>
      </c>
      <c r="I1325" s="219">
        <v>4.29</v>
      </c>
    </row>
    <row r="1326" spans="1:9" ht="26.4">
      <c r="A1326" s="229" t="s">
        <v>707</v>
      </c>
      <c r="B1326" s="230" t="s">
        <v>708</v>
      </c>
      <c r="C1326" s="231">
        <v>0.02</v>
      </c>
      <c r="D1326" s="232">
        <v>12.96</v>
      </c>
      <c r="E1326" s="233">
        <v>0.25</v>
      </c>
      <c r="I1326" s="219">
        <v>12.96</v>
      </c>
    </row>
    <row r="1327" spans="1:9">
      <c r="A1327" s="229"/>
      <c r="B1327" s="230"/>
      <c r="C1327" s="231"/>
      <c r="D1327" s="232" t="s">
        <v>361</v>
      </c>
      <c r="E1327" s="233">
        <v>5.71</v>
      </c>
      <c r="I1327" s="219" t="s">
        <v>361</v>
      </c>
    </row>
    <row r="1328" spans="1:9" ht="26.4">
      <c r="A1328" s="229" t="s">
        <v>660</v>
      </c>
      <c r="B1328" s="230" t="s">
        <v>661</v>
      </c>
      <c r="C1328" s="231">
        <v>0.13</v>
      </c>
      <c r="D1328" s="232">
        <v>9.52</v>
      </c>
      <c r="E1328" s="233">
        <v>1.23</v>
      </c>
      <c r="I1328" s="219">
        <v>9.52</v>
      </c>
    </row>
    <row r="1329" spans="1:9">
      <c r="A1329" s="229" t="s">
        <v>662</v>
      </c>
      <c r="B1329" s="230" t="s">
        <v>663</v>
      </c>
      <c r="C1329" s="231">
        <v>0.13</v>
      </c>
      <c r="D1329" s="232">
        <v>12.12</v>
      </c>
      <c r="E1329" s="233">
        <v>1.57</v>
      </c>
      <c r="I1329" s="219">
        <v>12.12</v>
      </c>
    </row>
    <row r="1330" spans="1:9">
      <c r="A1330" s="229"/>
      <c r="B1330" s="230"/>
      <c r="C1330" s="231"/>
      <c r="D1330" s="232" t="s">
        <v>366</v>
      </c>
      <c r="E1330" s="233">
        <v>2.8</v>
      </c>
      <c r="I1330" s="219" t="s">
        <v>366</v>
      </c>
    </row>
    <row r="1331" spans="1:9">
      <c r="A1331" s="229"/>
      <c r="B1331" s="230"/>
      <c r="C1331" s="231"/>
      <c r="D1331" s="232" t="s">
        <v>367</v>
      </c>
      <c r="E1331" s="233">
        <v>8.51</v>
      </c>
      <c r="I1331" s="219" t="s">
        <v>367</v>
      </c>
    </row>
    <row r="1332" spans="1:9">
      <c r="A1332" s="229"/>
      <c r="B1332" s="230"/>
      <c r="C1332" s="231"/>
      <c r="D1332" s="232" t="s">
        <v>1045</v>
      </c>
      <c r="E1332" s="233">
        <v>2.4500000000000002</v>
      </c>
      <c r="I1332" s="219" t="s">
        <v>1045</v>
      </c>
    </row>
    <row r="1333" spans="1:9">
      <c r="A1333" s="229"/>
      <c r="B1333" s="230"/>
      <c r="C1333" s="231"/>
      <c r="D1333" s="234" t="s">
        <v>196</v>
      </c>
      <c r="E1333" s="235">
        <v>10.96</v>
      </c>
      <c r="I1333" s="219" t="s">
        <v>196</v>
      </c>
    </row>
    <row r="1335" spans="1:9" ht="26.4">
      <c r="A1335" s="214" t="s">
        <v>940</v>
      </c>
      <c r="B1335" s="215" t="s">
        <v>232</v>
      </c>
      <c r="C1335" s="216" t="s">
        <v>23</v>
      </c>
    </row>
    <row r="1336" spans="1:9">
      <c r="A1336" s="220"/>
      <c r="B1336" s="221" t="s">
        <v>347</v>
      </c>
      <c r="C1336" s="222" t="s">
        <v>348</v>
      </c>
      <c r="D1336" s="223" t="s">
        <v>349</v>
      </c>
      <c r="E1336" s="223" t="s">
        <v>350</v>
      </c>
      <c r="I1336" s="219" t="s">
        <v>349</v>
      </c>
    </row>
    <row r="1337" spans="1:9">
      <c r="A1337" s="224" t="s">
        <v>703</v>
      </c>
      <c r="B1337" s="225" t="s">
        <v>704</v>
      </c>
      <c r="C1337" s="226">
        <v>1</v>
      </c>
      <c r="D1337" s="227">
        <v>2.0699999999999998</v>
      </c>
      <c r="E1337" s="228">
        <v>2.0699999999999998</v>
      </c>
      <c r="I1337" s="219">
        <v>2.0699999999999998</v>
      </c>
    </row>
    <row r="1338" spans="1:9" ht="26.4">
      <c r="A1338" s="229" t="s">
        <v>717</v>
      </c>
      <c r="B1338" s="230" t="s">
        <v>718</v>
      </c>
      <c r="C1338" s="231">
        <v>1</v>
      </c>
      <c r="D1338" s="232">
        <v>3.64</v>
      </c>
      <c r="E1338" s="233">
        <v>3.64</v>
      </c>
      <c r="I1338" s="219">
        <v>3.64</v>
      </c>
    </row>
    <row r="1339" spans="1:9" ht="26.4">
      <c r="A1339" s="229" t="s">
        <v>707</v>
      </c>
      <c r="B1339" s="230" t="s">
        <v>708</v>
      </c>
      <c r="C1339" s="231">
        <v>4.5999999999999999E-2</v>
      </c>
      <c r="D1339" s="232">
        <v>12.96</v>
      </c>
      <c r="E1339" s="233">
        <v>0.59</v>
      </c>
      <c r="I1339" s="219">
        <v>12.96</v>
      </c>
    </row>
    <row r="1340" spans="1:9">
      <c r="A1340" s="229"/>
      <c r="B1340" s="230"/>
      <c r="C1340" s="231"/>
      <c r="D1340" s="232" t="s">
        <v>361</v>
      </c>
      <c r="E1340" s="233">
        <v>6.3</v>
      </c>
      <c r="I1340" s="219" t="s">
        <v>361</v>
      </c>
    </row>
    <row r="1341" spans="1:9" ht="26.4">
      <c r="A1341" s="229" t="s">
        <v>660</v>
      </c>
      <c r="B1341" s="230" t="s">
        <v>661</v>
      </c>
      <c r="C1341" s="231">
        <v>0.25</v>
      </c>
      <c r="D1341" s="232">
        <v>9.52</v>
      </c>
      <c r="E1341" s="233">
        <v>2.38</v>
      </c>
      <c r="I1341" s="219">
        <v>9.52</v>
      </c>
    </row>
    <row r="1342" spans="1:9">
      <c r="A1342" s="229" t="s">
        <v>662</v>
      </c>
      <c r="B1342" s="230" t="s">
        <v>663</v>
      </c>
      <c r="C1342" s="231">
        <v>0.25</v>
      </c>
      <c r="D1342" s="232">
        <v>12.12</v>
      </c>
      <c r="E1342" s="233">
        <v>3.03</v>
      </c>
      <c r="I1342" s="219">
        <v>12.12</v>
      </c>
    </row>
    <row r="1343" spans="1:9">
      <c r="A1343" s="229"/>
      <c r="B1343" s="230"/>
      <c r="C1343" s="231"/>
      <c r="D1343" s="232" t="s">
        <v>366</v>
      </c>
      <c r="E1343" s="233">
        <v>5.41</v>
      </c>
      <c r="I1343" s="219" t="s">
        <v>366</v>
      </c>
    </row>
    <row r="1344" spans="1:9">
      <c r="A1344" s="229"/>
      <c r="B1344" s="230"/>
      <c r="C1344" s="231"/>
      <c r="D1344" s="232" t="s">
        <v>367</v>
      </c>
      <c r="E1344" s="233">
        <v>11.71</v>
      </c>
      <c r="I1344" s="219" t="s">
        <v>367</v>
      </c>
    </row>
    <row r="1345" spans="1:9">
      <c r="A1345" s="229"/>
      <c r="B1345" s="230"/>
      <c r="C1345" s="231"/>
      <c r="D1345" s="232" t="s">
        <v>1045</v>
      </c>
      <c r="E1345" s="233">
        <v>3.37</v>
      </c>
      <c r="I1345" s="219" t="s">
        <v>1045</v>
      </c>
    </row>
    <row r="1346" spans="1:9">
      <c r="A1346" s="229"/>
      <c r="B1346" s="230"/>
      <c r="C1346" s="231"/>
      <c r="D1346" s="234" t="s">
        <v>196</v>
      </c>
      <c r="E1346" s="235">
        <v>15.080000000000002</v>
      </c>
      <c r="I1346" s="219" t="s">
        <v>196</v>
      </c>
    </row>
    <row r="1348" spans="1:9" ht="26.4">
      <c r="A1348" s="214" t="s">
        <v>941</v>
      </c>
      <c r="B1348" s="215" t="s">
        <v>233</v>
      </c>
      <c r="C1348" s="216" t="s">
        <v>23</v>
      </c>
    </row>
    <row r="1349" spans="1:9">
      <c r="A1349" s="220"/>
      <c r="B1349" s="221" t="s">
        <v>347</v>
      </c>
      <c r="C1349" s="222" t="s">
        <v>348</v>
      </c>
      <c r="D1349" s="223" t="s">
        <v>349</v>
      </c>
      <c r="E1349" s="223" t="s">
        <v>350</v>
      </c>
      <c r="I1349" s="219" t="s">
        <v>349</v>
      </c>
    </row>
    <row r="1350" spans="1:9">
      <c r="A1350" s="224" t="s">
        <v>703</v>
      </c>
      <c r="B1350" s="225" t="s">
        <v>704</v>
      </c>
      <c r="C1350" s="226">
        <v>2</v>
      </c>
      <c r="D1350" s="227">
        <v>2.0699999999999998</v>
      </c>
      <c r="E1350" s="228">
        <v>4.1399999999999997</v>
      </c>
      <c r="I1350" s="219">
        <v>2.0699999999999998</v>
      </c>
    </row>
    <row r="1351" spans="1:9" ht="26.4">
      <c r="A1351" s="229" t="s">
        <v>707</v>
      </c>
      <c r="B1351" s="230" t="s">
        <v>708</v>
      </c>
      <c r="C1351" s="231">
        <v>9.1999999999999998E-2</v>
      </c>
      <c r="D1351" s="232">
        <v>12.96</v>
      </c>
      <c r="E1351" s="233">
        <v>1.19</v>
      </c>
      <c r="I1351" s="219">
        <v>12.96</v>
      </c>
    </row>
    <row r="1352" spans="1:9" ht="26.4">
      <c r="A1352" s="229" t="s">
        <v>719</v>
      </c>
      <c r="B1352" s="230" t="s">
        <v>720</v>
      </c>
      <c r="C1352" s="231">
        <v>1</v>
      </c>
      <c r="D1352" s="232">
        <v>25.71</v>
      </c>
      <c r="E1352" s="233">
        <v>25.71</v>
      </c>
      <c r="I1352" s="219">
        <v>25.71</v>
      </c>
    </row>
    <row r="1353" spans="1:9">
      <c r="A1353" s="229"/>
      <c r="B1353" s="230"/>
      <c r="C1353" s="231"/>
      <c r="D1353" s="232" t="s">
        <v>361</v>
      </c>
      <c r="E1353" s="233">
        <v>31.04</v>
      </c>
      <c r="I1353" s="219" t="s">
        <v>361</v>
      </c>
    </row>
    <row r="1354" spans="1:9" ht="26.4">
      <c r="A1354" s="229" t="s">
        <v>660</v>
      </c>
      <c r="B1354" s="230" t="s">
        <v>661</v>
      </c>
      <c r="C1354" s="231">
        <v>0.13</v>
      </c>
      <c r="D1354" s="232">
        <v>9.52</v>
      </c>
      <c r="E1354" s="233">
        <v>1.23</v>
      </c>
      <c r="I1354" s="219">
        <v>9.52</v>
      </c>
    </row>
    <row r="1355" spans="1:9">
      <c r="A1355" s="229" t="s">
        <v>662</v>
      </c>
      <c r="B1355" s="230" t="s">
        <v>663</v>
      </c>
      <c r="C1355" s="231">
        <v>0.13</v>
      </c>
      <c r="D1355" s="232">
        <v>12.12</v>
      </c>
      <c r="E1355" s="233">
        <v>1.57</v>
      </c>
      <c r="I1355" s="219">
        <v>12.12</v>
      </c>
    </row>
    <row r="1356" spans="1:9">
      <c r="A1356" s="229"/>
      <c r="B1356" s="230"/>
      <c r="C1356" s="231"/>
      <c r="D1356" s="232" t="s">
        <v>366</v>
      </c>
      <c r="E1356" s="233">
        <v>2.8</v>
      </c>
      <c r="I1356" s="219" t="s">
        <v>366</v>
      </c>
    </row>
    <row r="1357" spans="1:9">
      <c r="A1357" s="229"/>
      <c r="B1357" s="230"/>
      <c r="C1357" s="231"/>
      <c r="D1357" s="232" t="s">
        <v>367</v>
      </c>
      <c r="E1357" s="233">
        <v>33.839999999999996</v>
      </c>
      <c r="I1357" s="219" t="s">
        <v>367</v>
      </c>
    </row>
    <row r="1358" spans="1:9">
      <c r="A1358" s="229"/>
      <c r="B1358" s="230"/>
      <c r="C1358" s="231"/>
      <c r="D1358" s="232" t="s">
        <v>1045</v>
      </c>
      <c r="E1358" s="233">
        <v>9.75</v>
      </c>
      <c r="I1358" s="219" t="s">
        <v>1045</v>
      </c>
    </row>
    <row r="1359" spans="1:9">
      <c r="A1359" s="229"/>
      <c r="B1359" s="230"/>
      <c r="C1359" s="231"/>
      <c r="D1359" s="234" t="s">
        <v>196</v>
      </c>
      <c r="E1359" s="235">
        <v>43.589999999999996</v>
      </c>
      <c r="I1359" s="219" t="s">
        <v>196</v>
      </c>
    </row>
    <row r="1361" spans="1:9" ht="26.4">
      <c r="A1361" s="214" t="s">
        <v>942</v>
      </c>
      <c r="B1361" s="215" t="s">
        <v>234</v>
      </c>
      <c r="C1361" s="216" t="s">
        <v>23</v>
      </c>
    </row>
    <row r="1362" spans="1:9">
      <c r="A1362" s="220"/>
      <c r="B1362" s="221" t="s">
        <v>347</v>
      </c>
      <c r="C1362" s="222" t="s">
        <v>348</v>
      </c>
      <c r="D1362" s="223" t="s">
        <v>349</v>
      </c>
      <c r="E1362" s="223" t="s">
        <v>350</v>
      </c>
      <c r="I1362" s="219" t="s">
        <v>349</v>
      </c>
    </row>
    <row r="1363" spans="1:9">
      <c r="A1363" s="224" t="s">
        <v>721</v>
      </c>
      <c r="B1363" s="225" t="s">
        <v>722</v>
      </c>
      <c r="C1363" s="226">
        <v>2</v>
      </c>
      <c r="D1363" s="227">
        <v>1.65</v>
      </c>
      <c r="E1363" s="228">
        <v>3.3</v>
      </c>
      <c r="I1363" s="219">
        <v>1.65</v>
      </c>
    </row>
    <row r="1364" spans="1:9" ht="26.4">
      <c r="A1364" s="229" t="s">
        <v>723</v>
      </c>
      <c r="B1364" s="230" t="s">
        <v>724</v>
      </c>
      <c r="C1364" s="231">
        <v>1</v>
      </c>
      <c r="D1364" s="232">
        <v>7.27</v>
      </c>
      <c r="E1364" s="233">
        <v>7.27</v>
      </c>
      <c r="I1364" s="219">
        <v>7.27</v>
      </c>
    </row>
    <row r="1365" spans="1:9" ht="26.4">
      <c r="A1365" s="229" t="s">
        <v>707</v>
      </c>
      <c r="B1365" s="230" t="s">
        <v>708</v>
      </c>
      <c r="C1365" s="231">
        <v>0.06</v>
      </c>
      <c r="D1365" s="232">
        <v>12.96</v>
      </c>
      <c r="E1365" s="233">
        <v>0.77</v>
      </c>
      <c r="I1365" s="219">
        <v>12.96</v>
      </c>
    </row>
    <row r="1366" spans="1:9">
      <c r="A1366" s="229"/>
      <c r="B1366" s="230"/>
      <c r="C1366" s="231"/>
      <c r="D1366" s="232" t="s">
        <v>361</v>
      </c>
      <c r="E1366" s="233">
        <v>11.34</v>
      </c>
      <c r="I1366" s="219" t="s">
        <v>361</v>
      </c>
    </row>
    <row r="1367" spans="1:9" ht="26.4">
      <c r="A1367" s="229" t="s">
        <v>660</v>
      </c>
      <c r="B1367" s="230" t="s">
        <v>661</v>
      </c>
      <c r="C1367" s="231">
        <v>0.11</v>
      </c>
      <c r="D1367" s="232">
        <v>9.52</v>
      </c>
      <c r="E1367" s="233">
        <v>1.04</v>
      </c>
      <c r="I1367" s="219">
        <v>9.52</v>
      </c>
    </row>
    <row r="1368" spans="1:9">
      <c r="A1368" s="229" t="s">
        <v>662</v>
      </c>
      <c r="B1368" s="230" t="s">
        <v>663</v>
      </c>
      <c r="C1368" s="231">
        <v>0.11</v>
      </c>
      <c r="D1368" s="232">
        <v>12.12</v>
      </c>
      <c r="E1368" s="233">
        <v>1.33</v>
      </c>
      <c r="I1368" s="219">
        <v>12.12</v>
      </c>
    </row>
    <row r="1369" spans="1:9">
      <c r="A1369" s="229"/>
      <c r="B1369" s="230"/>
      <c r="C1369" s="231"/>
      <c r="D1369" s="232" t="s">
        <v>366</v>
      </c>
      <c r="E1369" s="233">
        <v>2.37</v>
      </c>
      <c r="I1369" s="219" t="s">
        <v>366</v>
      </c>
    </row>
    <row r="1370" spans="1:9">
      <c r="A1370" s="229"/>
      <c r="B1370" s="230"/>
      <c r="C1370" s="231"/>
      <c r="D1370" s="232" t="s">
        <v>367</v>
      </c>
      <c r="E1370" s="233">
        <v>13.71</v>
      </c>
      <c r="I1370" s="219" t="s">
        <v>367</v>
      </c>
    </row>
    <row r="1371" spans="1:9">
      <c r="A1371" s="229"/>
      <c r="B1371" s="230"/>
      <c r="C1371" s="231"/>
      <c r="D1371" s="232" t="s">
        <v>1045</v>
      </c>
      <c r="E1371" s="233">
        <v>3.95</v>
      </c>
      <c r="I1371" s="219" t="s">
        <v>1045</v>
      </c>
    </row>
    <row r="1372" spans="1:9">
      <c r="A1372" s="229"/>
      <c r="B1372" s="230"/>
      <c r="C1372" s="231"/>
      <c r="D1372" s="234" t="s">
        <v>196</v>
      </c>
      <c r="E1372" s="235">
        <v>17.66</v>
      </c>
      <c r="I1372" s="219" t="s">
        <v>196</v>
      </c>
    </row>
    <row r="1374" spans="1:9" ht="26.4">
      <c r="A1374" s="253" t="s">
        <v>943</v>
      </c>
      <c r="B1374" s="215" t="s">
        <v>237</v>
      </c>
      <c r="C1374" s="216" t="s">
        <v>23</v>
      </c>
    </row>
    <row r="1375" spans="1:9">
      <c r="A1375" s="236"/>
      <c r="B1375" s="237" t="s">
        <v>347</v>
      </c>
      <c r="C1375" s="238" t="s">
        <v>348</v>
      </c>
      <c r="D1375" s="239" t="s">
        <v>349</v>
      </c>
      <c r="E1375" s="239" t="s">
        <v>350</v>
      </c>
      <c r="I1375" s="219" t="s">
        <v>349</v>
      </c>
    </row>
    <row r="1376" spans="1:9" ht="26.4">
      <c r="A1376" s="256" t="s">
        <v>725</v>
      </c>
      <c r="B1376" s="254" t="s">
        <v>828</v>
      </c>
      <c r="C1376" s="226">
        <v>1</v>
      </c>
      <c r="D1376" s="227">
        <v>154.69</v>
      </c>
      <c r="E1376" s="228">
        <v>154.69</v>
      </c>
      <c r="I1376" s="219">
        <v>154.69</v>
      </c>
    </row>
    <row r="1377" spans="1:9">
      <c r="A1377" s="229"/>
      <c r="B1377" s="230"/>
      <c r="C1377" s="231"/>
      <c r="D1377" s="232" t="s">
        <v>361</v>
      </c>
      <c r="E1377" s="233">
        <v>154.69</v>
      </c>
      <c r="I1377" s="219" t="s">
        <v>361</v>
      </c>
    </row>
    <row r="1378" spans="1:9">
      <c r="A1378" s="229"/>
      <c r="B1378" s="230"/>
      <c r="C1378" s="231"/>
      <c r="D1378" s="232" t="s">
        <v>367</v>
      </c>
      <c r="E1378" s="233">
        <v>154.69</v>
      </c>
      <c r="I1378" s="219" t="s">
        <v>367</v>
      </c>
    </row>
    <row r="1379" spans="1:9">
      <c r="A1379" s="229"/>
      <c r="B1379" s="230"/>
      <c r="C1379" s="231"/>
      <c r="D1379" s="232" t="s">
        <v>1045</v>
      </c>
      <c r="E1379" s="233">
        <v>44.58</v>
      </c>
      <c r="I1379" s="219" t="s">
        <v>1045</v>
      </c>
    </row>
    <row r="1380" spans="1:9">
      <c r="A1380" s="229"/>
      <c r="B1380" s="230"/>
      <c r="C1380" s="231"/>
      <c r="D1380" s="234" t="s">
        <v>196</v>
      </c>
      <c r="E1380" s="235">
        <v>199.26999999999998</v>
      </c>
      <c r="I1380" s="219" t="s">
        <v>196</v>
      </c>
    </row>
    <row r="1382" spans="1:9" ht="26.4">
      <c r="A1382" s="214" t="s">
        <v>944</v>
      </c>
      <c r="B1382" s="215" t="s">
        <v>166</v>
      </c>
      <c r="C1382" s="216" t="s">
        <v>23</v>
      </c>
    </row>
    <row r="1383" spans="1:9">
      <c r="A1383" s="220"/>
      <c r="B1383" s="221" t="s">
        <v>347</v>
      </c>
      <c r="C1383" s="222" t="s">
        <v>348</v>
      </c>
      <c r="D1383" s="223" t="s">
        <v>349</v>
      </c>
      <c r="E1383" s="223" t="s">
        <v>350</v>
      </c>
      <c r="I1383" s="219" t="s">
        <v>349</v>
      </c>
    </row>
    <row r="1384" spans="1:9">
      <c r="A1384" s="224" t="s">
        <v>668</v>
      </c>
      <c r="B1384" s="225" t="s">
        <v>669</v>
      </c>
      <c r="C1384" s="226">
        <v>1.4800000000000001E-2</v>
      </c>
      <c r="D1384" s="227">
        <v>35.39</v>
      </c>
      <c r="E1384" s="228">
        <v>0.52</v>
      </c>
      <c r="I1384" s="219">
        <v>35.39</v>
      </c>
    </row>
    <row r="1385" spans="1:9">
      <c r="A1385" s="229" t="s">
        <v>711</v>
      </c>
      <c r="B1385" s="230" t="s">
        <v>712</v>
      </c>
      <c r="C1385" s="231">
        <v>1</v>
      </c>
      <c r="D1385" s="232">
        <v>1.17</v>
      </c>
      <c r="E1385" s="233">
        <v>1.17</v>
      </c>
      <c r="I1385" s="219">
        <v>1.17</v>
      </c>
    </row>
    <row r="1386" spans="1:9" ht="26.4">
      <c r="A1386" s="229" t="s">
        <v>726</v>
      </c>
      <c r="B1386" s="230" t="s">
        <v>727</v>
      </c>
      <c r="C1386" s="231">
        <v>1</v>
      </c>
      <c r="D1386" s="232">
        <v>7.74</v>
      </c>
      <c r="E1386" s="233">
        <v>7.74</v>
      </c>
      <c r="I1386" s="219">
        <v>7.74</v>
      </c>
    </row>
    <row r="1387" spans="1:9" ht="26.4">
      <c r="A1387" s="229" t="s">
        <v>707</v>
      </c>
      <c r="B1387" s="230" t="s">
        <v>708</v>
      </c>
      <c r="C1387" s="231">
        <v>0.02</v>
      </c>
      <c r="D1387" s="232">
        <v>12.96</v>
      </c>
      <c r="E1387" s="233">
        <v>0.25</v>
      </c>
      <c r="I1387" s="219">
        <v>12.96</v>
      </c>
    </row>
    <row r="1388" spans="1:9">
      <c r="A1388" s="229" t="s">
        <v>672</v>
      </c>
      <c r="B1388" s="230" t="s">
        <v>673</v>
      </c>
      <c r="C1388" s="231">
        <v>2.2499999999999999E-2</v>
      </c>
      <c r="D1388" s="232">
        <v>30.73</v>
      </c>
      <c r="E1388" s="233">
        <v>0.69</v>
      </c>
      <c r="I1388" s="219">
        <v>30.73</v>
      </c>
    </row>
    <row r="1389" spans="1:9">
      <c r="A1389" s="229" t="s">
        <v>666</v>
      </c>
      <c r="B1389" s="230" t="s">
        <v>667</v>
      </c>
      <c r="C1389" s="231">
        <v>6.4000000000000001E-2</v>
      </c>
      <c r="D1389" s="232">
        <v>1.39</v>
      </c>
      <c r="E1389" s="233">
        <v>0.08</v>
      </c>
      <c r="I1389" s="219">
        <v>1.39</v>
      </c>
    </row>
    <row r="1390" spans="1:9">
      <c r="A1390" s="229"/>
      <c r="B1390" s="230"/>
      <c r="C1390" s="231"/>
      <c r="D1390" s="232" t="s">
        <v>361</v>
      </c>
      <c r="E1390" s="233">
        <v>10.45</v>
      </c>
      <c r="I1390" s="219" t="s">
        <v>361</v>
      </c>
    </row>
    <row r="1391" spans="1:9" ht="26.4">
      <c r="A1391" s="229" t="s">
        <v>660</v>
      </c>
      <c r="B1391" s="230" t="s">
        <v>661</v>
      </c>
      <c r="C1391" s="231">
        <v>0.25</v>
      </c>
      <c r="D1391" s="232">
        <v>9.52</v>
      </c>
      <c r="E1391" s="233">
        <v>2.38</v>
      </c>
      <c r="I1391" s="219">
        <v>9.52</v>
      </c>
    </row>
    <row r="1392" spans="1:9">
      <c r="A1392" s="229" t="s">
        <v>662</v>
      </c>
      <c r="B1392" s="230" t="s">
        <v>663</v>
      </c>
      <c r="C1392" s="231">
        <v>0.25</v>
      </c>
      <c r="D1392" s="232">
        <v>12.12</v>
      </c>
      <c r="E1392" s="233">
        <v>3.03</v>
      </c>
      <c r="I1392" s="219">
        <v>12.12</v>
      </c>
    </row>
    <row r="1393" spans="1:9">
      <c r="A1393" s="229"/>
      <c r="B1393" s="230"/>
      <c r="C1393" s="231"/>
      <c r="D1393" s="232" t="s">
        <v>366</v>
      </c>
      <c r="E1393" s="233">
        <v>5.41</v>
      </c>
      <c r="I1393" s="219" t="s">
        <v>366</v>
      </c>
    </row>
    <row r="1394" spans="1:9">
      <c r="A1394" s="229"/>
      <c r="B1394" s="230"/>
      <c r="C1394" s="231"/>
      <c r="D1394" s="232" t="s">
        <v>367</v>
      </c>
      <c r="E1394" s="233">
        <v>15.86</v>
      </c>
      <c r="I1394" s="219" t="s">
        <v>367</v>
      </c>
    </row>
    <row r="1395" spans="1:9">
      <c r="A1395" s="229"/>
      <c r="B1395" s="230"/>
      <c r="C1395" s="231"/>
      <c r="D1395" s="232" t="s">
        <v>1045</v>
      </c>
      <c r="E1395" s="233">
        <v>4.57</v>
      </c>
      <c r="I1395" s="219" t="s">
        <v>1045</v>
      </c>
    </row>
    <row r="1396" spans="1:9">
      <c r="A1396" s="229"/>
      <c r="B1396" s="230"/>
      <c r="C1396" s="231"/>
      <c r="D1396" s="234" t="s">
        <v>196</v>
      </c>
      <c r="E1396" s="235">
        <v>20.43</v>
      </c>
      <c r="I1396" s="219" t="s">
        <v>196</v>
      </c>
    </row>
    <row r="1398" spans="1:9" ht="26.4">
      <c r="A1398" s="214" t="s">
        <v>945</v>
      </c>
      <c r="B1398" s="215" t="s">
        <v>177</v>
      </c>
      <c r="C1398" s="216" t="s">
        <v>23</v>
      </c>
    </row>
    <row r="1399" spans="1:9">
      <c r="A1399" s="220"/>
      <c r="B1399" s="221" t="s">
        <v>347</v>
      </c>
      <c r="C1399" s="222" t="s">
        <v>348</v>
      </c>
      <c r="D1399" s="223" t="s">
        <v>349</v>
      </c>
      <c r="E1399" s="223" t="s">
        <v>350</v>
      </c>
      <c r="I1399" s="219" t="s">
        <v>349</v>
      </c>
    </row>
    <row r="1400" spans="1:9" ht="26.4">
      <c r="A1400" s="224" t="s">
        <v>728</v>
      </c>
      <c r="B1400" s="225" t="s">
        <v>729</v>
      </c>
      <c r="C1400" s="226">
        <v>2E-3</v>
      </c>
      <c r="D1400" s="227">
        <v>31.34</v>
      </c>
      <c r="E1400" s="228">
        <v>0.06</v>
      </c>
      <c r="I1400" s="219">
        <v>31.34</v>
      </c>
    </row>
    <row r="1401" spans="1:9">
      <c r="A1401" s="229" t="s">
        <v>730</v>
      </c>
      <c r="B1401" s="230" t="s">
        <v>731</v>
      </c>
      <c r="C1401" s="231">
        <v>2</v>
      </c>
      <c r="D1401" s="232">
        <v>0.33</v>
      </c>
      <c r="E1401" s="233">
        <v>0.66</v>
      </c>
      <c r="I1401" s="219">
        <v>0.33</v>
      </c>
    </row>
    <row r="1402" spans="1:9" ht="26.4">
      <c r="A1402" s="229" t="s">
        <v>732</v>
      </c>
      <c r="B1402" s="230" t="s">
        <v>733</v>
      </c>
      <c r="C1402" s="231">
        <v>1</v>
      </c>
      <c r="D1402" s="232">
        <v>110.36</v>
      </c>
      <c r="E1402" s="233">
        <v>110.36</v>
      </c>
      <c r="I1402" s="219">
        <v>110.36</v>
      </c>
    </row>
    <row r="1403" spans="1:9">
      <c r="A1403" s="229"/>
      <c r="B1403" s="230"/>
      <c r="C1403" s="231"/>
      <c r="D1403" s="232" t="s">
        <v>361</v>
      </c>
      <c r="E1403" s="233">
        <v>111.08</v>
      </c>
      <c r="I1403" s="219" t="s">
        <v>361</v>
      </c>
    </row>
    <row r="1404" spans="1:9" ht="26.4">
      <c r="A1404" s="229" t="s">
        <v>660</v>
      </c>
      <c r="B1404" s="230" t="s">
        <v>661</v>
      </c>
      <c r="C1404" s="231">
        <v>1</v>
      </c>
      <c r="D1404" s="232">
        <v>9.52</v>
      </c>
      <c r="E1404" s="233">
        <v>9.52</v>
      </c>
      <c r="I1404" s="219">
        <v>9.52</v>
      </c>
    </row>
    <row r="1405" spans="1:9">
      <c r="A1405" s="229" t="s">
        <v>662</v>
      </c>
      <c r="B1405" s="230" t="s">
        <v>663</v>
      </c>
      <c r="C1405" s="231">
        <v>1</v>
      </c>
      <c r="D1405" s="232">
        <v>12.12</v>
      </c>
      <c r="E1405" s="233">
        <v>12.12</v>
      </c>
      <c r="I1405" s="219">
        <v>12.12</v>
      </c>
    </row>
    <row r="1406" spans="1:9">
      <c r="A1406" s="229" t="s">
        <v>440</v>
      </c>
      <c r="B1406" s="230" t="s">
        <v>441</v>
      </c>
      <c r="C1406" s="231">
        <v>1.5</v>
      </c>
      <c r="D1406" s="232">
        <v>12.42</v>
      </c>
      <c r="E1406" s="233">
        <v>18.63</v>
      </c>
      <c r="I1406" s="219">
        <v>12.42</v>
      </c>
    </row>
    <row r="1407" spans="1:9">
      <c r="A1407" s="229" t="s">
        <v>364</v>
      </c>
      <c r="B1407" s="230" t="s">
        <v>365</v>
      </c>
      <c r="C1407" s="231">
        <v>1.5</v>
      </c>
      <c r="D1407" s="232">
        <v>10.1</v>
      </c>
      <c r="E1407" s="233">
        <v>15.15</v>
      </c>
      <c r="I1407" s="219">
        <v>10.1</v>
      </c>
    </row>
    <row r="1408" spans="1:9">
      <c r="A1408" s="229"/>
      <c r="B1408" s="230"/>
      <c r="C1408" s="231"/>
      <c r="D1408" s="232" t="s">
        <v>366</v>
      </c>
      <c r="E1408" s="233">
        <v>55.419999999999995</v>
      </c>
      <c r="I1408" s="219" t="s">
        <v>366</v>
      </c>
    </row>
    <row r="1409" spans="1:9">
      <c r="A1409" s="229"/>
      <c r="B1409" s="230"/>
      <c r="C1409" s="231"/>
      <c r="D1409" s="232" t="s">
        <v>367</v>
      </c>
      <c r="E1409" s="233">
        <v>166.5</v>
      </c>
      <c r="I1409" s="219" t="s">
        <v>367</v>
      </c>
    </row>
    <row r="1410" spans="1:9">
      <c r="A1410" s="229"/>
      <c r="B1410" s="230"/>
      <c r="C1410" s="231"/>
      <c r="D1410" s="232" t="s">
        <v>1045</v>
      </c>
      <c r="E1410" s="233">
        <v>47.98</v>
      </c>
      <c r="I1410" s="219" t="s">
        <v>1045</v>
      </c>
    </row>
    <row r="1411" spans="1:9">
      <c r="A1411" s="229"/>
      <c r="B1411" s="230"/>
      <c r="C1411" s="231"/>
      <c r="D1411" s="234" t="s">
        <v>196</v>
      </c>
      <c r="E1411" s="235">
        <v>214.48</v>
      </c>
      <c r="I1411" s="219" t="s">
        <v>196</v>
      </c>
    </row>
    <row r="1413" spans="1:9" ht="26.4">
      <c r="A1413" s="214" t="s">
        <v>946</v>
      </c>
      <c r="B1413" s="215" t="s">
        <v>178</v>
      </c>
      <c r="C1413" s="216" t="s">
        <v>23</v>
      </c>
    </row>
    <row r="1414" spans="1:9">
      <c r="A1414" s="220"/>
      <c r="B1414" s="221" t="s">
        <v>347</v>
      </c>
      <c r="C1414" s="222" t="s">
        <v>348</v>
      </c>
      <c r="D1414" s="223" t="s">
        <v>349</v>
      </c>
      <c r="E1414" s="223" t="s">
        <v>350</v>
      </c>
      <c r="I1414" s="219" t="s">
        <v>349</v>
      </c>
    </row>
    <row r="1415" spans="1:9">
      <c r="A1415" s="224" t="s">
        <v>668</v>
      </c>
      <c r="B1415" s="225" t="s">
        <v>669</v>
      </c>
      <c r="C1415" s="226">
        <v>4.8999999999999998E-3</v>
      </c>
      <c r="D1415" s="227">
        <v>35.39</v>
      </c>
      <c r="E1415" s="228">
        <v>0.17</v>
      </c>
      <c r="I1415" s="219">
        <v>35.39</v>
      </c>
    </row>
    <row r="1416" spans="1:9">
      <c r="A1416" s="229" t="s">
        <v>734</v>
      </c>
      <c r="B1416" s="230" t="s">
        <v>735</v>
      </c>
      <c r="C1416" s="231">
        <v>1</v>
      </c>
      <c r="D1416" s="232">
        <v>3.87</v>
      </c>
      <c r="E1416" s="233">
        <v>3.87</v>
      </c>
      <c r="I1416" s="219">
        <v>3.87</v>
      </c>
    </row>
    <row r="1417" spans="1:9">
      <c r="A1417" s="229" t="s">
        <v>672</v>
      </c>
      <c r="B1417" s="230" t="s">
        <v>673</v>
      </c>
      <c r="C1417" s="231">
        <v>7.4999999999999997E-3</v>
      </c>
      <c r="D1417" s="232">
        <v>30.73</v>
      </c>
      <c r="E1417" s="233">
        <v>0.23</v>
      </c>
      <c r="I1417" s="219">
        <v>30.73</v>
      </c>
    </row>
    <row r="1418" spans="1:9">
      <c r="A1418" s="229" t="s">
        <v>666</v>
      </c>
      <c r="B1418" s="230" t="s">
        <v>667</v>
      </c>
      <c r="C1418" s="231">
        <v>1.7000000000000001E-2</v>
      </c>
      <c r="D1418" s="232">
        <v>1.39</v>
      </c>
      <c r="E1418" s="233">
        <v>0.02</v>
      </c>
      <c r="I1418" s="219">
        <v>1.39</v>
      </c>
    </row>
    <row r="1419" spans="1:9">
      <c r="A1419" s="229"/>
      <c r="B1419" s="230"/>
      <c r="C1419" s="231"/>
      <c r="D1419" s="232" t="s">
        <v>361</v>
      </c>
      <c r="E1419" s="233">
        <v>4.29</v>
      </c>
      <c r="I1419" s="219" t="s">
        <v>361</v>
      </c>
    </row>
    <row r="1420" spans="1:9" ht="26.4">
      <c r="A1420" s="229" t="s">
        <v>660</v>
      </c>
      <c r="B1420" s="230" t="s">
        <v>661</v>
      </c>
      <c r="C1420" s="231">
        <v>7.0000000000000007E-2</v>
      </c>
      <c r="D1420" s="232">
        <v>9.52</v>
      </c>
      <c r="E1420" s="233">
        <v>0.66</v>
      </c>
      <c r="I1420" s="219">
        <v>9.52</v>
      </c>
    </row>
    <row r="1421" spans="1:9">
      <c r="A1421" s="229" t="s">
        <v>662</v>
      </c>
      <c r="B1421" s="230" t="s">
        <v>663</v>
      </c>
      <c r="C1421" s="231">
        <v>7.0000000000000007E-2</v>
      </c>
      <c r="D1421" s="232">
        <v>12.12</v>
      </c>
      <c r="E1421" s="233">
        <v>0.84</v>
      </c>
      <c r="I1421" s="219">
        <v>12.12</v>
      </c>
    </row>
    <row r="1422" spans="1:9">
      <c r="A1422" s="229"/>
      <c r="B1422" s="230"/>
      <c r="C1422" s="231"/>
      <c r="D1422" s="232" t="s">
        <v>366</v>
      </c>
      <c r="E1422" s="233">
        <v>1.5</v>
      </c>
      <c r="I1422" s="219" t="s">
        <v>366</v>
      </c>
    </row>
    <row r="1423" spans="1:9">
      <c r="A1423" s="229"/>
      <c r="B1423" s="230"/>
      <c r="C1423" s="231"/>
      <c r="D1423" s="232" t="s">
        <v>367</v>
      </c>
      <c r="E1423" s="233">
        <v>5.79</v>
      </c>
      <c r="I1423" s="219" t="s">
        <v>367</v>
      </c>
    </row>
    <row r="1424" spans="1:9">
      <c r="A1424" s="229"/>
      <c r="B1424" s="230"/>
      <c r="C1424" s="231"/>
      <c r="D1424" s="232" t="s">
        <v>1045</v>
      </c>
      <c r="E1424" s="233">
        <v>1.66</v>
      </c>
      <c r="I1424" s="219" t="s">
        <v>1045</v>
      </c>
    </row>
    <row r="1425" spans="1:9">
      <c r="A1425" s="229"/>
      <c r="B1425" s="230"/>
      <c r="C1425" s="231"/>
      <c r="D1425" s="234" t="s">
        <v>196</v>
      </c>
      <c r="E1425" s="235">
        <v>7.45</v>
      </c>
      <c r="I1425" s="219" t="s">
        <v>196</v>
      </c>
    </row>
    <row r="1427" spans="1:9" ht="26.4">
      <c r="A1427" s="214" t="s">
        <v>947</v>
      </c>
      <c r="B1427" s="215" t="s">
        <v>171</v>
      </c>
      <c r="C1427" s="216" t="s">
        <v>23</v>
      </c>
    </row>
    <row r="1428" spans="1:9">
      <c r="A1428" s="220"/>
      <c r="B1428" s="221" t="s">
        <v>347</v>
      </c>
      <c r="C1428" s="222" t="s">
        <v>348</v>
      </c>
      <c r="D1428" s="223" t="s">
        <v>349</v>
      </c>
      <c r="E1428" s="223" t="s">
        <v>350</v>
      </c>
      <c r="I1428" s="219" t="s">
        <v>349</v>
      </c>
    </row>
    <row r="1429" spans="1:9" ht="39.6">
      <c r="A1429" s="224" t="s">
        <v>736</v>
      </c>
      <c r="B1429" s="225" t="s">
        <v>737</v>
      </c>
      <c r="C1429" s="226">
        <v>2</v>
      </c>
      <c r="D1429" s="227">
        <v>10.06</v>
      </c>
      <c r="E1429" s="228">
        <v>20.12</v>
      </c>
      <c r="I1429" s="219">
        <v>10.06</v>
      </c>
    </row>
    <row r="1430" spans="1:9">
      <c r="A1430" s="229" t="s">
        <v>738</v>
      </c>
      <c r="B1430" s="230" t="s">
        <v>739</v>
      </c>
      <c r="C1430" s="231">
        <v>1</v>
      </c>
      <c r="D1430" s="232">
        <v>1.22</v>
      </c>
      <c r="E1430" s="233">
        <v>1.22</v>
      </c>
      <c r="I1430" s="219">
        <v>1.22</v>
      </c>
    </row>
    <row r="1431" spans="1:9">
      <c r="A1431" s="229" t="s">
        <v>740</v>
      </c>
      <c r="B1431" s="230" t="s">
        <v>741</v>
      </c>
      <c r="C1431" s="231">
        <v>1</v>
      </c>
      <c r="D1431" s="232">
        <v>202.64</v>
      </c>
      <c r="E1431" s="233">
        <v>202.64</v>
      </c>
      <c r="I1431" s="219">
        <v>202.64</v>
      </c>
    </row>
    <row r="1432" spans="1:9">
      <c r="A1432" s="229" t="s">
        <v>742</v>
      </c>
      <c r="B1432" s="230" t="s">
        <v>743</v>
      </c>
      <c r="C1432" s="231">
        <v>0.1469</v>
      </c>
      <c r="D1432" s="232">
        <v>31.55</v>
      </c>
      <c r="E1432" s="233">
        <v>4.63</v>
      </c>
      <c r="I1432" s="219">
        <v>31.55</v>
      </c>
    </row>
    <row r="1433" spans="1:9">
      <c r="A1433" s="229"/>
      <c r="B1433" s="230"/>
      <c r="C1433" s="231"/>
      <c r="D1433" s="232" t="s">
        <v>361</v>
      </c>
      <c r="E1433" s="233">
        <v>228.60999999999999</v>
      </c>
      <c r="I1433" s="219" t="s">
        <v>361</v>
      </c>
    </row>
    <row r="1434" spans="1:9">
      <c r="A1434" s="229" t="s">
        <v>662</v>
      </c>
      <c r="B1434" s="230" t="s">
        <v>663</v>
      </c>
      <c r="C1434" s="231">
        <v>0.78</v>
      </c>
      <c r="D1434" s="232">
        <v>12.12</v>
      </c>
      <c r="E1434" s="233">
        <v>9.4499999999999993</v>
      </c>
      <c r="I1434" s="219">
        <v>12.12</v>
      </c>
    </row>
    <row r="1435" spans="1:9">
      <c r="A1435" s="229" t="s">
        <v>364</v>
      </c>
      <c r="B1435" s="230" t="s">
        <v>365</v>
      </c>
      <c r="C1435" s="231">
        <v>0.44</v>
      </c>
      <c r="D1435" s="232">
        <v>10.1</v>
      </c>
      <c r="E1435" s="233">
        <v>4.4400000000000004</v>
      </c>
      <c r="I1435" s="219">
        <v>10.1</v>
      </c>
    </row>
    <row r="1436" spans="1:9">
      <c r="A1436" s="229"/>
      <c r="B1436" s="230"/>
      <c r="C1436" s="231"/>
      <c r="D1436" s="232" t="s">
        <v>366</v>
      </c>
      <c r="E1436" s="233">
        <v>13.89</v>
      </c>
      <c r="I1436" s="219" t="s">
        <v>366</v>
      </c>
    </row>
    <row r="1437" spans="1:9">
      <c r="A1437" s="229"/>
      <c r="B1437" s="230"/>
      <c r="C1437" s="231"/>
      <c r="D1437" s="232" t="s">
        <v>367</v>
      </c>
      <c r="E1437" s="233">
        <v>242.5</v>
      </c>
      <c r="I1437" s="219" t="s">
        <v>367</v>
      </c>
    </row>
    <row r="1438" spans="1:9">
      <c r="A1438" s="229"/>
      <c r="B1438" s="230"/>
      <c r="C1438" s="231"/>
      <c r="D1438" s="232" t="s">
        <v>1045</v>
      </c>
      <c r="E1438" s="233">
        <v>69.88</v>
      </c>
      <c r="I1438" s="219" t="s">
        <v>1045</v>
      </c>
    </row>
    <row r="1439" spans="1:9">
      <c r="A1439" s="229"/>
      <c r="B1439" s="230"/>
      <c r="C1439" s="231"/>
      <c r="D1439" s="234" t="s">
        <v>196</v>
      </c>
      <c r="E1439" s="235">
        <v>312.38</v>
      </c>
      <c r="I1439" s="219" t="s">
        <v>196</v>
      </c>
    </row>
    <row r="1441" spans="1:9" ht="26.4">
      <c r="A1441" s="214" t="s">
        <v>948</v>
      </c>
      <c r="B1441" s="215" t="s">
        <v>170</v>
      </c>
      <c r="C1441" s="216" t="s">
        <v>23</v>
      </c>
    </row>
    <row r="1442" spans="1:9">
      <c r="A1442" s="220"/>
      <c r="B1442" s="221" t="s">
        <v>347</v>
      </c>
      <c r="C1442" s="222" t="s">
        <v>348</v>
      </c>
      <c r="D1442" s="223" t="s">
        <v>349</v>
      </c>
      <c r="E1442" s="223" t="s">
        <v>350</v>
      </c>
      <c r="I1442" s="219" t="s">
        <v>349</v>
      </c>
    </row>
    <row r="1443" spans="1:9" ht="26.4">
      <c r="A1443" s="224" t="s">
        <v>744</v>
      </c>
      <c r="B1443" s="225" t="s">
        <v>745</v>
      </c>
      <c r="C1443" s="226">
        <v>1</v>
      </c>
      <c r="D1443" s="227">
        <v>33.130000000000003</v>
      </c>
      <c r="E1443" s="228">
        <v>33.130000000000003</v>
      </c>
      <c r="I1443" s="219">
        <v>33.130000000000003</v>
      </c>
    </row>
    <row r="1444" spans="1:9" ht="26.4">
      <c r="A1444" s="229" t="s">
        <v>746</v>
      </c>
      <c r="B1444" s="230" t="s">
        <v>747</v>
      </c>
      <c r="C1444" s="231">
        <v>1</v>
      </c>
      <c r="D1444" s="232">
        <v>93.52</v>
      </c>
      <c r="E1444" s="233">
        <v>93.52</v>
      </c>
      <c r="I1444" s="219">
        <v>93.52</v>
      </c>
    </row>
    <row r="1445" spans="1:9" ht="26.4">
      <c r="A1445" s="229" t="s">
        <v>748</v>
      </c>
      <c r="B1445" s="230" t="s">
        <v>749</v>
      </c>
      <c r="C1445" s="231">
        <v>1</v>
      </c>
      <c r="D1445" s="232">
        <v>104.57</v>
      </c>
      <c r="E1445" s="233">
        <v>104.57</v>
      </c>
      <c r="I1445" s="219">
        <v>104.57</v>
      </c>
    </row>
    <row r="1446" spans="1:9">
      <c r="A1446" s="229"/>
      <c r="B1446" s="230"/>
      <c r="C1446" s="231"/>
      <c r="D1446" s="232" t="s">
        <v>361</v>
      </c>
      <c r="E1446" s="233">
        <v>231.22</v>
      </c>
      <c r="I1446" s="219" t="s">
        <v>361</v>
      </c>
    </row>
    <row r="1447" spans="1:9">
      <c r="A1447" s="229"/>
      <c r="B1447" s="230"/>
      <c r="C1447" s="231"/>
      <c r="D1447" s="232" t="s">
        <v>367</v>
      </c>
      <c r="E1447" s="233">
        <v>231.22</v>
      </c>
      <c r="I1447" s="219" t="s">
        <v>367</v>
      </c>
    </row>
    <row r="1448" spans="1:9">
      <c r="A1448" s="229"/>
      <c r="B1448" s="230"/>
      <c r="C1448" s="231"/>
      <c r="D1448" s="232" t="s">
        <v>1045</v>
      </c>
      <c r="E1448" s="233">
        <v>66.63</v>
      </c>
      <c r="I1448" s="219" t="s">
        <v>1045</v>
      </c>
    </row>
    <row r="1449" spans="1:9">
      <c r="A1449" s="229"/>
      <c r="B1449" s="230"/>
      <c r="C1449" s="231"/>
      <c r="D1449" s="234" t="s">
        <v>196</v>
      </c>
      <c r="E1449" s="235">
        <v>297.85000000000002</v>
      </c>
      <c r="I1449" s="219" t="s">
        <v>196</v>
      </c>
    </row>
    <row r="1451" spans="1:9" ht="26.4">
      <c r="A1451" s="214" t="s">
        <v>949</v>
      </c>
      <c r="B1451" s="215" t="s">
        <v>172</v>
      </c>
      <c r="C1451" s="216" t="s">
        <v>23</v>
      </c>
    </row>
    <row r="1452" spans="1:9">
      <c r="A1452" s="220"/>
      <c r="B1452" s="221" t="s">
        <v>347</v>
      </c>
      <c r="C1452" s="222" t="s">
        <v>348</v>
      </c>
      <c r="D1452" s="223" t="s">
        <v>349</v>
      </c>
      <c r="E1452" s="223" t="s">
        <v>350</v>
      </c>
      <c r="I1452" s="219" t="s">
        <v>349</v>
      </c>
    </row>
    <row r="1453" spans="1:9" ht="26.4">
      <c r="A1453" s="224" t="s">
        <v>750</v>
      </c>
      <c r="B1453" s="225" t="s">
        <v>751</v>
      </c>
      <c r="C1453" s="226">
        <v>1</v>
      </c>
      <c r="D1453" s="227">
        <v>3.54</v>
      </c>
      <c r="E1453" s="228">
        <v>3.54</v>
      </c>
      <c r="I1453" s="219">
        <v>3.54</v>
      </c>
    </row>
    <row r="1454" spans="1:9" ht="26.4">
      <c r="A1454" s="229" t="s">
        <v>752</v>
      </c>
      <c r="B1454" s="230" t="s">
        <v>753</v>
      </c>
      <c r="C1454" s="231">
        <v>1</v>
      </c>
      <c r="D1454" s="232">
        <v>10.15</v>
      </c>
      <c r="E1454" s="233">
        <v>10.15</v>
      </c>
      <c r="I1454" s="219">
        <v>10.15</v>
      </c>
    </row>
    <row r="1455" spans="1:9" ht="26.4">
      <c r="A1455" s="229" t="s">
        <v>754</v>
      </c>
      <c r="B1455" s="230" t="s">
        <v>755</v>
      </c>
      <c r="C1455" s="231">
        <v>1</v>
      </c>
      <c r="D1455" s="232">
        <v>4.3499999999999996</v>
      </c>
      <c r="E1455" s="233">
        <v>4.3499999999999996</v>
      </c>
      <c r="I1455" s="219">
        <v>4.3499999999999996</v>
      </c>
    </row>
    <row r="1456" spans="1:9" ht="26.4">
      <c r="A1456" s="229" t="s">
        <v>756</v>
      </c>
      <c r="B1456" s="230" t="s">
        <v>757</v>
      </c>
      <c r="C1456" s="231">
        <v>1</v>
      </c>
      <c r="D1456" s="232">
        <v>72.75</v>
      </c>
      <c r="E1456" s="233">
        <v>72.75</v>
      </c>
      <c r="I1456" s="219">
        <v>72.75</v>
      </c>
    </row>
    <row r="1457" spans="1:9" ht="26.4">
      <c r="A1457" s="229" t="s">
        <v>758</v>
      </c>
      <c r="B1457" s="230" t="s">
        <v>759</v>
      </c>
      <c r="C1457" s="231">
        <v>1</v>
      </c>
      <c r="D1457" s="232">
        <v>30.060000000000002</v>
      </c>
      <c r="E1457" s="233">
        <v>30.06</v>
      </c>
      <c r="I1457" s="219">
        <v>30.060000000000002</v>
      </c>
    </row>
    <row r="1458" spans="1:9">
      <c r="A1458" s="229"/>
      <c r="B1458" s="230"/>
      <c r="C1458" s="231"/>
      <c r="D1458" s="232" t="s">
        <v>361</v>
      </c>
      <c r="E1458" s="233">
        <v>120.85</v>
      </c>
      <c r="I1458" s="219" t="s">
        <v>361</v>
      </c>
    </row>
    <row r="1459" spans="1:9">
      <c r="A1459" s="229"/>
      <c r="B1459" s="230"/>
      <c r="C1459" s="231"/>
      <c r="D1459" s="232" t="s">
        <v>367</v>
      </c>
      <c r="E1459" s="233">
        <v>120.85</v>
      </c>
      <c r="I1459" s="219" t="s">
        <v>367</v>
      </c>
    </row>
    <row r="1460" spans="1:9">
      <c r="A1460" s="229"/>
      <c r="B1460" s="230"/>
      <c r="C1460" s="231"/>
      <c r="D1460" s="232" t="s">
        <v>1045</v>
      </c>
      <c r="E1460" s="233">
        <v>34.82</v>
      </c>
      <c r="I1460" s="219" t="s">
        <v>1045</v>
      </c>
    </row>
    <row r="1461" spans="1:9">
      <c r="A1461" s="229"/>
      <c r="B1461" s="230"/>
      <c r="C1461" s="231"/>
      <c r="D1461" s="234" t="s">
        <v>196</v>
      </c>
      <c r="E1461" s="235">
        <v>155.66999999999999</v>
      </c>
      <c r="I1461" s="219" t="s">
        <v>196</v>
      </c>
    </row>
    <row r="1463" spans="1:9" ht="26.4">
      <c r="A1463" s="214" t="s">
        <v>950</v>
      </c>
      <c r="B1463" s="215" t="s">
        <v>173</v>
      </c>
      <c r="C1463" s="216" t="s">
        <v>23</v>
      </c>
    </row>
    <row r="1464" spans="1:9">
      <c r="A1464" s="220"/>
      <c r="B1464" s="221" t="s">
        <v>347</v>
      </c>
      <c r="C1464" s="222" t="s">
        <v>348</v>
      </c>
      <c r="D1464" s="223" t="s">
        <v>349</v>
      </c>
      <c r="E1464" s="223" t="s">
        <v>350</v>
      </c>
      <c r="I1464" s="219" t="s">
        <v>349</v>
      </c>
    </row>
    <row r="1465" spans="1:9">
      <c r="A1465" s="224" t="s">
        <v>760</v>
      </c>
      <c r="B1465" s="225" t="s">
        <v>761</v>
      </c>
      <c r="C1465" s="226">
        <v>3.04E-2</v>
      </c>
      <c r="D1465" s="227">
        <v>2.4900000000000002</v>
      </c>
      <c r="E1465" s="228">
        <v>7.0000000000000007E-2</v>
      </c>
      <c r="I1465" s="219">
        <v>2.4900000000000002</v>
      </c>
    </row>
    <row r="1466" spans="1:9" ht="26.4">
      <c r="A1466" s="229" t="s">
        <v>762</v>
      </c>
      <c r="B1466" s="230" t="s">
        <v>763</v>
      </c>
      <c r="C1466" s="231">
        <v>1</v>
      </c>
      <c r="D1466" s="232">
        <v>57.42</v>
      </c>
      <c r="E1466" s="233">
        <v>57.42</v>
      </c>
      <c r="I1466" s="219">
        <v>57.42</v>
      </c>
    </row>
    <row r="1467" spans="1:9">
      <c r="A1467" s="229"/>
      <c r="B1467" s="230"/>
      <c r="C1467" s="231"/>
      <c r="D1467" s="232" t="s">
        <v>361</v>
      </c>
      <c r="E1467" s="233">
        <v>57.49</v>
      </c>
      <c r="I1467" s="219" t="s">
        <v>361</v>
      </c>
    </row>
    <row r="1468" spans="1:9">
      <c r="A1468" s="229" t="s">
        <v>662</v>
      </c>
      <c r="B1468" s="230" t="s">
        <v>663</v>
      </c>
      <c r="C1468" s="231">
        <v>0.17</v>
      </c>
      <c r="D1468" s="232">
        <v>12.12</v>
      </c>
      <c r="E1468" s="233">
        <v>2.06</v>
      </c>
      <c r="I1468" s="219">
        <v>12.12</v>
      </c>
    </row>
    <row r="1469" spans="1:9">
      <c r="A1469" s="229" t="s">
        <v>364</v>
      </c>
      <c r="B1469" s="230" t="s">
        <v>365</v>
      </c>
      <c r="C1469" s="231">
        <v>0.05</v>
      </c>
      <c r="D1469" s="232">
        <v>10.1</v>
      </c>
      <c r="E1469" s="233">
        <v>0.5</v>
      </c>
      <c r="I1469" s="219">
        <v>10.1</v>
      </c>
    </row>
    <row r="1470" spans="1:9">
      <c r="A1470" s="229"/>
      <c r="B1470" s="230"/>
      <c r="C1470" s="231"/>
      <c r="D1470" s="232" t="s">
        <v>366</v>
      </c>
      <c r="E1470" s="233">
        <v>2.56</v>
      </c>
      <c r="I1470" s="219" t="s">
        <v>366</v>
      </c>
    </row>
    <row r="1471" spans="1:9">
      <c r="A1471" s="229"/>
      <c r="B1471" s="230"/>
      <c r="C1471" s="231"/>
      <c r="D1471" s="232" t="s">
        <v>367</v>
      </c>
      <c r="E1471" s="233">
        <v>60.050000000000004</v>
      </c>
      <c r="I1471" s="219" t="s">
        <v>367</v>
      </c>
    </row>
    <row r="1472" spans="1:9">
      <c r="A1472" s="229"/>
      <c r="B1472" s="230"/>
      <c r="C1472" s="231"/>
      <c r="D1472" s="232" t="s">
        <v>1045</v>
      </c>
      <c r="E1472" s="233">
        <v>17.3</v>
      </c>
      <c r="I1472" s="219" t="s">
        <v>1045</v>
      </c>
    </row>
    <row r="1473" spans="1:9">
      <c r="A1473" s="229"/>
      <c r="B1473" s="230"/>
      <c r="C1473" s="231"/>
      <c r="D1473" s="234" t="s">
        <v>196</v>
      </c>
      <c r="E1473" s="235">
        <v>77.350000000000009</v>
      </c>
      <c r="I1473" s="219" t="s">
        <v>196</v>
      </c>
    </row>
    <row r="1475" spans="1:9" ht="26.4">
      <c r="A1475" s="214" t="s">
        <v>951</v>
      </c>
      <c r="B1475" s="215" t="s">
        <v>174</v>
      </c>
      <c r="C1475" s="216" t="s">
        <v>23</v>
      </c>
    </row>
    <row r="1476" spans="1:9">
      <c r="A1476" s="220"/>
      <c r="B1476" s="221" t="s">
        <v>347</v>
      </c>
      <c r="C1476" s="222" t="s">
        <v>348</v>
      </c>
      <c r="D1476" s="223" t="s">
        <v>349</v>
      </c>
      <c r="E1476" s="223" t="s">
        <v>350</v>
      </c>
      <c r="I1476" s="219" t="s">
        <v>349</v>
      </c>
    </row>
    <row r="1477" spans="1:9">
      <c r="A1477" s="224" t="s">
        <v>760</v>
      </c>
      <c r="B1477" s="225" t="s">
        <v>761</v>
      </c>
      <c r="C1477" s="226">
        <v>3.04E-2</v>
      </c>
      <c r="D1477" s="227">
        <v>2.4900000000000002</v>
      </c>
      <c r="E1477" s="228">
        <v>7.0000000000000007E-2</v>
      </c>
      <c r="I1477" s="219">
        <v>2.4900000000000002</v>
      </c>
    </row>
    <row r="1478" spans="1:9" ht="26.4">
      <c r="A1478" s="229" t="s">
        <v>764</v>
      </c>
      <c r="B1478" s="230" t="s">
        <v>765</v>
      </c>
      <c r="C1478" s="231">
        <v>1</v>
      </c>
      <c r="D1478" s="232">
        <v>28.48</v>
      </c>
      <c r="E1478" s="233">
        <v>28.48</v>
      </c>
      <c r="I1478" s="219">
        <v>28.48</v>
      </c>
    </row>
    <row r="1479" spans="1:9">
      <c r="A1479" s="229"/>
      <c r="B1479" s="230"/>
      <c r="C1479" s="231"/>
      <c r="D1479" s="232" t="s">
        <v>361</v>
      </c>
      <c r="E1479" s="233">
        <v>28.55</v>
      </c>
      <c r="I1479" s="219" t="s">
        <v>361</v>
      </c>
    </row>
    <row r="1480" spans="1:9">
      <c r="A1480" s="229" t="s">
        <v>662</v>
      </c>
      <c r="B1480" s="230" t="s">
        <v>663</v>
      </c>
      <c r="C1480" s="231">
        <v>0.1</v>
      </c>
      <c r="D1480" s="232">
        <v>12.12</v>
      </c>
      <c r="E1480" s="233">
        <v>1.21</v>
      </c>
      <c r="I1480" s="219">
        <v>12.12</v>
      </c>
    </row>
    <row r="1481" spans="1:9">
      <c r="A1481" s="229" t="s">
        <v>364</v>
      </c>
      <c r="B1481" s="230" t="s">
        <v>365</v>
      </c>
      <c r="C1481" s="231">
        <v>0.03</v>
      </c>
      <c r="D1481" s="232">
        <v>10.1</v>
      </c>
      <c r="E1481" s="233">
        <v>0.3</v>
      </c>
      <c r="I1481" s="219">
        <v>10.1</v>
      </c>
    </row>
    <row r="1482" spans="1:9">
      <c r="A1482" s="229"/>
      <c r="B1482" s="230"/>
      <c r="C1482" s="231"/>
      <c r="D1482" s="232" t="s">
        <v>366</v>
      </c>
      <c r="E1482" s="233">
        <v>1.51</v>
      </c>
      <c r="I1482" s="219" t="s">
        <v>366</v>
      </c>
    </row>
    <row r="1483" spans="1:9">
      <c r="A1483" s="229"/>
      <c r="B1483" s="230"/>
      <c r="C1483" s="231"/>
      <c r="D1483" s="232" t="s">
        <v>367</v>
      </c>
      <c r="E1483" s="233">
        <v>30.060000000000002</v>
      </c>
      <c r="I1483" s="219" t="s">
        <v>367</v>
      </c>
    </row>
    <row r="1484" spans="1:9">
      <c r="A1484" s="229"/>
      <c r="B1484" s="230"/>
      <c r="C1484" s="231"/>
      <c r="D1484" s="232" t="s">
        <v>1045</v>
      </c>
      <c r="E1484" s="233">
        <v>8.66</v>
      </c>
      <c r="I1484" s="219" t="s">
        <v>1045</v>
      </c>
    </row>
    <row r="1485" spans="1:9">
      <c r="A1485" s="229"/>
      <c r="B1485" s="230"/>
      <c r="C1485" s="231"/>
      <c r="D1485" s="234" t="s">
        <v>196</v>
      </c>
      <c r="E1485" s="235">
        <v>38.72</v>
      </c>
      <c r="I1485" s="219" t="s">
        <v>196</v>
      </c>
    </row>
    <row r="1487" spans="1:9" ht="26.4">
      <c r="A1487" s="253" t="s">
        <v>952</v>
      </c>
      <c r="B1487" s="215" t="s">
        <v>175</v>
      </c>
      <c r="C1487" s="216" t="s">
        <v>23</v>
      </c>
    </row>
    <row r="1488" spans="1:9">
      <c r="A1488" s="255"/>
      <c r="B1488" s="237" t="s">
        <v>347</v>
      </c>
      <c r="C1488" s="238" t="s">
        <v>348</v>
      </c>
      <c r="D1488" s="239" t="s">
        <v>349</v>
      </c>
      <c r="E1488" s="239" t="s">
        <v>350</v>
      </c>
      <c r="I1488" s="219" t="s">
        <v>349</v>
      </c>
    </row>
    <row r="1489" spans="1:9">
      <c r="A1489" s="256" t="s">
        <v>766</v>
      </c>
      <c r="B1489" s="254" t="s">
        <v>829</v>
      </c>
      <c r="C1489" s="226">
        <v>1</v>
      </c>
      <c r="D1489" s="227">
        <v>19.72</v>
      </c>
      <c r="E1489" s="228">
        <v>19.72</v>
      </c>
      <c r="I1489" s="219">
        <v>19.72</v>
      </c>
    </row>
    <row r="1490" spans="1:9">
      <c r="A1490" s="257"/>
      <c r="B1490" s="230"/>
      <c r="C1490" s="231"/>
      <c r="D1490" s="232" t="s">
        <v>361</v>
      </c>
      <c r="E1490" s="233">
        <v>19.72</v>
      </c>
      <c r="I1490" s="219" t="s">
        <v>361</v>
      </c>
    </row>
    <row r="1491" spans="1:9">
      <c r="A1491" s="257"/>
      <c r="B1491" s="230"/>
      <c r="C1491" s="231"/>
      <c r="D1491" s="232" t="s">
        <v>367</v>
      </c>
      <c r="E1491" s="233">
        <v>19.72</v>
      </c>
      <c r="I1491" s="219" t="s">
        <v>367</v>
      </c>
    </row>
    <row r="1492" spans="1:9">
      <c r="A1492" s="257"/>
      <c r="B1492" s="230"/>
      <c r="C1492" s="231"/>
      <c r="D1492" s="232" t="s">
        <v>1045</v>
      </c>
      <c r="E1492" s="233">
        <v>5.68</v>
      </c>
      <c r="I1492" s="219" t="s">
        <v>1045</v>
      </c>
    </row>
    <row r="1493" spans="1:9">
      <c r="A1493" s="257"/>
      <c r="B1493" s="230"/>
      <c r="C1493" s="231"/>
      <c r="D1493" s="234" t="s">
        <v>196</v>
      </c>
      <c r="E1493" s="235">
        <v>25.4</v>
      </c>
      <c r="I1493" s="219" t="s">
        <v>196</v>
      </c>
    </row>
    <row r="1494" spans="1:9">
      <c r="A1494" s="253"/>
    </row>
    <row r="1495" spans="1:9" ht="26.4">
      <c r="A1495" s="253" t="s">
        <v>953</v>
      </c>
      <c r="B1495" s="215" t="s">
        <v>176</v>
      </c>
      <c r="C1495" s="216" t="s">
        <v>23</v>
      </c>
    </row>
    <row r="1496" spans="1:9">
      <c r="A1496" s="236"/>
      <c r="B1496" s="237" t="s">
        <v>347</v>
      </c>
      <c r="C1496" s="238" t="s">
        <v>348</v>
      </c>
      <c r="D1496" s="239" t="s">
        <v>349</v>
      </c>
      <c r="E1496" s="239" t="s">
        <v>350</v>
      </c>
      <c r="I1496" s="219" t="s">
        <v>349</v>
      </c>
    </row>
    <row r="1497" spans="1:9">
      <c r="A1497" s="256" t="s">
        <v>767</v>
      </c>
      <c r="B1497" s="254" t="s">
        <v>830</v>
      </c>
      <c r="C1497" s="226">
        <v>1</v>
      </c>
      <c r="D1497" s="227">
        <v>18.309999999999999</v>
      </c>
      <c r="E1497" s="228">
        <v>18.309999999999999</v>
      </c>
      <c r="I1497" s="219">
        <v>18.309999999999999</v>
      </c>
    </row>
    <row r="1498" spans="1:9">
      <c r="A1498" s="229"/>
      <c r="B1498" s="230"/>
      <c r="C1498" s="231"/>
      <c r="D1498" s="232" t="s">
        <v>361</v>
      </c>
      <c r="E1498" s="233">
        <v>18.309999999999999</v>
      </c>
      <c r="I1498" s="219" t="s">
        <v>361</v>
      </c>
    </row>
    <row r="1499" spans="1:9">
      <c r="A1499" s="229"/>
      <c r="B1499" s="230"/>
      <c r="C1499" s="231"/>
      <c r="D1499" s="232" t="s">
        <v>367</v>
      </c>
      <c r="E1499" s="233">
        <v>18.309999999999999</v>
      </c>
      <c r="I1499" s="219" t="s">
        <v>367</v>
      </c>
    </row>
    <row r="1500" spans="1:9">
      <c r="A1500" s="229"/>
      <c r="B1500" s="230"/>
      <c r="C1500" s="231"/>
      <c r="D1500" s="232" t="s">
        <v>1045</v>
      </c>
      <c r="E1500" s="233">
        <v>5.27</v>
      </c>
      <c r="I1500" s="219" t="s">
        <v>1045</v>
      </c>
    </row>
    <row r="1501" spans="1:9">
      <c r="A1501" s="229"/>
      <c r="B1501" s="230"/>
      <c r="C1501" s="231"/>
      <c r="D1501" s="234" t="s">
        <v>196</v>
      </c>
      <c r="E1501" s="235">
        <v>23.58</v>
      </c>
      <c r="I1501" s="219" t="s">
        <v>196</v>
      </c>
    </row>
    <row r="1503" spans="1:9" ht="26.4">
      <c r="A1503" s="214" t="s">
        <v>954</v>
      </c>
      <c r="B1503" s="215" t="s">
        <v>185</v>
      </c>
      <c r="C1503" s="216" t="s">
        <v>23</v>
      </c>
    </row>
    <row r="1504" spans="1:9">
      <c r="A1504" s="220"/>
      <c r="B1504" s="221" t="s">
        <v>347</v>
      </c>
      <c r="C1504" s="222" t="s">
        <v>348</v>
      </c>
      <c r="D1504" s="223" t="s">
        <v>349</v>
      </c>
      <c r="E1504" s="223" t="s">
        <v>350</v>
      </c>
      <c r="I1504" s="219" t="s">
        <v>349</v>
      </c>
    </row>
    <row r="1505" spans="1:9" ht="39.6">
      <c r="A1505" s="224" t="s">
        <v>768</v>
      </c>
      <c r="B1505" s="225" t="s">
        <v>769</v>
      </c>
      <c r="C1505" s="226">
        <v>1</v>
      </c>
      <c r="D1505" s="227">
        <v>0.28000000000000003</v>
      </c>
      <c r="E1505" s="228">
        <v>0.28000000000000003</v>
      </c>
      <c r="I1505" s="219">
        <v>0.28000000000000003</v>
      </c>
    </row>
    <row r="1506" spans="1:9" ht="26.4">
      <c r="A1506" s="229" t="s">
        <v>770</v>
      </c>
      <c r="B1506" s="230" t="s">
        <v>771</v>
      </c>
      <c r="C1506" s="231">
        <v>1</v>
      </c>
      <c r="D1506" s="232">
        <v>100.95</v>
      </c>
      <c r="E1506" s="233">
        <v>100.95</v>
      </c>
      <c r="I1506" s="219">
        <v>100.95</v>
      </c>
    </row>
    <row r="1507" spans="1:9">
      <c r="A1507" s="229"/>
      <c r="B1507" s="230"/>
      <c r="C1507" s="231"/>
      <c r="D1507" s="232" t="s">
        <v>361</v>
      </c>
      <c r="E1507" s="233">
        <v>101.23</v>
      </c>
      <c r="I1507" s="219" t="s">
        <v>361</v>
      </c>
    </row>
    <row r="1508" spans="1:9">
      <c r="A1508" s="229" t="s">
        <v>662</v>
      </c>
      <c r="B1508" s="230" t="s">
        <v>663</v>
      </c>
      <c r="C1508" s="231">
        <v>0.3</v>
      </c>
      <c r="D1508" s="232">
        <v>12.12</v>
      </c>
      <c r="E1508" s="233">
        <v>3.63</v>
      </c>
      <c r="I1508" s="219">
        <v>12.12</v>
      </c>
    </row>
    <row r="1509" spans="1:9">
      <c r="A1509" s="229" t="s">
        <v>364</v>
      </c>
      <c r="B1509" s="230" t="s">
        <v>365</v>
      </c>
      <c r="C1509" s="231">
        <v>0.3</v>
      </c>
      <c r="D1509" s="232">
        <v>10.1</v>
      </c>
      <c r="E1509" s="233">
        <v>3.03</v>
      </c>
      <c r="I1509" s="219">
        <v>10.1</v>
      </c>
    </row>
    <row r="1510" spans="1:9">
      <c r="A1510" s="229"/>
      <c r="B1510" s="230"/>
      <c r="C1510" s="231"/>
      <c r="D1510" s="232" t="s">
        <v>366</v>
      </c>
      <c r="E1510" s="233">
        <v>6.66</v>
      </c>
      <c r="I1510" s="219" t="s">
        <v>366</v>
      </c>
    </row>
    <row r="1511" spans="1:9">
      <c r="A1511" s="229"/>
      <c r="B1511" s="230"/>
      <c r="C1511" s="231"/>
      <c r="D1511" s="232" t="s">
        <v>367</v>
      </c>
      <c r="E1511" s="233">
        <v>107.89</v>
      </c>
      <c r="I1511" s="219" t="s">
        <v>367</v>
      </c>
    </row>
    <row r="1512" spans="1:9">
      <c r="A1512" s="229"/>
      <c r="B1512" s="230"/>
      <c r="C1512" s="231"/>
      <c r="D1512" s="232" t="s">
        <v>1045</v>
      </c>
      <c r="E1512" s="233">
        <v>31.09</v>
      </c>
      <c r="I1512" s="219" t="s">
        <v>1045</v>
      </c>
    </row>
    <row r="1513" spans="1:9">
      <c r="A1513" s="229"/>
      <c r="B1513" s="230"/>
      <c r="C1513" s="231"/>
      <c r="D1513" s="234" t="s">
        <v>196</v>
      </c>
      <c r="E1513" s="235">
        <v>138.97999999999999</v>
      </c>
      <c r="I1513" s="219" t="s">
        <v>196</v>
      </c>
    </row>
    <row r="1515" spans="1:9" ht="26.4">
      <c r="A1515" s="253" t="s">
        <v>955</v>
      </c>
      <c r="B1515" s="215" t="s">
        <v>186</v>
      </c>
      <c r="C1515" s="216" t="s">
        <v>23</v>
      </c>
    </row>
    <row r="1516" spans="1:9">
      <c r="A1516" s="258"/>
      <c r="B1516" s="221" t="s">
        <v>347</v>
      </c>
      <c r="C1516" s="222" t="s">
        <v>348</v>
      </c>
      <c r="D1516" s="223" t="s">
        <v>349</v>
      </c>
      <c r="E1516" s="223" t="s">
        <v>350</v>
      </c>
      <c r="I1516" s="219" t="s">
        <v>349</v>
      </c>
    </row>
    <row r="1517" spans="1:9" ht="39.6">
      <c r="A1517" s="256" t="s">
        <v>768</v>
      </c>
      <c r="B1517" s="225" t="s">
        <v>769</v>
      </c>
      <c r="C1517" s="226">
        <v>1</v>
      </c>
      <c r="D1517" s="227">
        <v>0.28000000000000003</v>
      </c>
      <c r="E1517" s="228">
        <v>0.28000000000000003</v>
      </c>
      <c r="I1517" s="219">
        <v>0.28000000000000003</v>
      </c>
    </row>
    <row r="1518" spans="1:9" ht="26.4">
      <c r="A1518" s="257" t="s">
        <v>772</v>
      </c>
      <c r="B1518" s="230" t="s">
        <v>773</v>
      </c>
      <c r="C1518" s="231">
        <v>1</v>
      </c>
      <c r="D1518" s="232">
        <v>357.93</v>
      </c>
      <c r="E1518" s="233">
        <v>357.93</v>
      </c>
      <c r="I1518" s="219">
        <v>357.93</v>
      </c>
    </row>
    <row r="1519" spans="1:9">
      <c r="A1519" s="257"/>
      <c r="B1519" s="230"/>
      <c r="C1519" s="231"/>
      <c r="D1519" s="232" t="s">
        <v>361</v>
      </c>
      <c r="E1519" s="233">
        <v>358.21</v>
      </c>
      <c r="I1519" s="219" t="s">
        <v>361</v>
      </c>
    </row>
    <row r="1520" spans="1:9">
      <c r="A1520" s="257" t="s">
        <v>662</v>
      </c>
      <c r="B1520" s="230" t="s">
        <v>663</v>
      </c>
      <c r="C1520" s="231">
        <v>0.3</v>
      </c>
      <c r="D1520" s="232">
        <v>12.12</v>
      </c>
      <c r="E1520" s="233">
        <v>3.63</v>
      </c>
      <c r="I1520" s="219">
        <v>12.12</v>
      </c>
    </row>
    <row r="1521" spans="1:9">
      <c r="A1521" s="257" t="s">
        <v>364</v>
      </c>
      <c r="B1521" s="230" t="s">
        <v>365</v>
      </c>
      <c r="C1521" s="231">
        <v>0.3</v>
      </c>
      <c r="D1521" s="232">
        <v>10.1</v>
      </c>
      <c r="E1521" s="233">
        <v>3.03</v>
      </c>
      <c r="I1521" s="219">
        <v>10.1</v>
      </c>
    </row>
    <row r="1522" spans="1:9">
      <c r="A1522" s="257"/>
      <c r="B1522" s="230"/>
      <c r="C1522" s="231"/>
      <c r="D1522" s="232" t="s">
        <v>366</v>
      </c>
      <c r="E1522" s="233">
        <v>6.66</v>
      </c>
      <c r="I1522" s="219" t="s">
        <v>366</v>
      </c>
    </row>
    <row r="1523" spans="1:9">
      <c r="A1523" s="257"/>
      <c r="B1523" s="230"/>
      <c r="C1523" s="231"/>
      <c r="D1523" s="232" t="s">
        <v>367</v>
      </c>
      <c r="E1523" s="233">
        <v>364.87</v>
      </c>
      <c r="I1523" s="219" t="s">
        <v>367</v>
      </c>
    </row>
    <row r="1524" spans="1:9">
      <c r="A1524" s="257"/>
      <c r="B1524" s="230"/>
      <c r="C1524" s="231"/>
      <c r="D1524" s="232" t="s">
        <v>1045</v>
      </c>
      <c r="E1524" s="233">
        <v>105.15</v>
      </c>
      <c r="I1524" s="219" t="s">
        <v>1045</v>
      </c>
    </row>
    <row r="1525" spans="1:9">
      <c r="A1525" s="257"/>
      <c r="B1525" s="230"/>
      <c r="C1525" s="231"/>
      <c r="D1525" s="234" t="s">
        <v>196</v>
      </c>
      <c r="E1525" s="235">
        <v>470.02</v>
      </c>
      <c r="I1525" s="219" t="s">
        <v>196</v>
      </c>
    </row>
    <row r="1526" spans="1:9">
      <c r="A1526" s="253"/>
    </row>
    <row r="1527" spans="1:9" ht="26.4">
      <c r="A1527" s="253" t="s">
        <v>956</v>
      </c>
      <c r="B1527" s="215" t="s">
        <v>165</v>
      </c>
      <c r="C1527" s="216" t="s">
        <v>23</v>
      </c>
    </row>
    <row r="1528" spans="1:9">
      <c r="A1528" s="255"/>
      <c r="B1528" s="237" t="s">
        <v>347</v>
      </c>
      <c r="C1528" s="238" t="s">
        <v>348</v>
      </c>
      <c r="D1528" s="239" t="s">
        <v>349</v>
      </c>
      <c r="E1528" s="239" t="s">
        <v>350</v>
      </c>
      <c r="I1528" s="219" t="s">
        <v>349</v>
      </c>
    </row>
    <row r="1529" spans="1:9" ht="26.4">
      <c r="A1529" s="256" t="s">
        <v>774</v>
      </c>
      <c r="B1529" s="254" t="s">
        <v>831</v>
      </c>
      <c r="C1529" s="226">
        <v>1</v>
      </c>
      <c r="D1529" s="227">
        <v>22.93</v>
      </c>
      <c r="E1529" s="228">
        <v>22.93</v>
      </c>
      <c r="I1529" s="219">
        <v>22.93</v>
      </c>
    </row>
    <row r="1530" spans="1:9">
      <c r="A1530" s="257"/>
      <c r="B1530" s="230"/>
      <c r="C1530" s="231"/>
      <c r="D1530" s="232" t="s">
        <v>361</v>
      </c>
      <c r="E1530" s="233">
        <v>22.93</v>
      </c>
      <c r="I1530" s="219" t="s">
        <v>361</v>
      </c>
    </row>
    <row r="1531" spans="1:9">
      <c r="A1531" s="257"/>
      <c r="B1531" s="230"/>
      <c r="C1531" s="231"/>
      <c r="D1531" s="232" t="s">
        <v>367</v>
      </c>
      <c r="E1531" s="233">
        <v>22.93</v>
      </c>
      <c r="I1531" s="219" t="s">
        <v>367</v>
      </c>
    </row>
    <row r="1532" spans="1:9">
      <c r="A1532" s="257"/>
      <c r="B1532" s="230"/>
      <c r="C1532" s="231"/>
      <c r="D1532" s="232" t="s">
        <v>1045</v>
      </c>
      <c r="E1532" s="233">
        <v>6.6</v>
      </c>
      <c r="I1532" s="219" t="s">
        <v>1045</v>
      </c>
    </row>
    <row r="1533" spans="1:9">
      <c r="A1533" s="257"/>
      <c r="B1533" s="230"/>
      <c r="C1533" s="231"/>
      <c r="D1533" s="234" t="s">
        <v>196</v>
      </c>
      <c r="E1533" s="235">
        <v>29.53</v>
      </c>
      <c r="I1533" s="219" t="s">
        <v>196</v>
      </c>
    </row>
    <row r="1534" spans="1:9">
      <c r="A1534" s="253"/>
    </row>
    <row r="1535" spans="1:9" ht="39.6">
      <c r="A1535" s="253" t="s">
        <v>957</v>
      </c>
      <c r="B1535" s="215" t="s">
        <v>230</v>
      </c>
      <c r="C1535" s="216" t="s">
        <v>23</v>
      </c>
    </row>
    <row r="1536" spans="1:9">
      <c r="A1536" s="255"/>
      <c r="B1536" s="237" t="s">
        <v>347</v>
      </c>
      <c r="C1536" s="238" t="s">
        <v>348</v>
      </c>
      <c r="D1536" s="239" t="s">
        <v>349</v>
      </c>
      <c r="E1536" s="239" t="s">
        <v>350</v>
      </c>
      <c r="I1536" s="219" t="s">
        <v>349</v>
      </c>
    </row>
    <row r="1537" spans="1:9" ht="39.6">
      <c r="A1537" s="256" t="s">
        <v>775</v>
      </c>
      <c r="B1537" s="254" t="s">
        <v>832</v>
      </c>
      <c r="C1537" s="226">
        <v>1</v>
      </c>
      <c r="D1537" s="227">
        <v>31.19</v>
      </c>
      <c r="E1537" s="228">
        <v>31.19</v>
      </c>
      <c r="I1537" s="219">
        <v>31.19</v>
      </c>
    </row>
    <row r="1538" spans="1:9">
      <c r="A1538" s="257"/>
      <c r="B1538" s="230"/>
      <c r="C1538" s="231"/>
      <c r="D1538" s="232" t="s">
        <v>361</v>
      </c>
      <c r="E1538" s="233">
        <v>31.19</v>
      </c>
      <c r="I1538" s="219" t="s">
        <v>361</v>
      </c>
    </row>
    <row r="1539" spans="1:9">
      <c r="A1539" s="257"/>
      <c r="B1539" s="230"/>
      <c r="C1539" s="231"/>
      <c r="D1539" s="232" t="s">
        <v>367</v>
      </c>
      <c r="E1539" s="233">
        <v>31.19</v>
      </c>
      <c r="I1539" s="219" t="s">
        <v>367</v>
      </c>
    </row>
    <row r="1540" spans="1:9">
      <c r="A1540" s="257"/>
      <c r="B1540" s="230"/>
      <c r="C1540" s="231"/>
      <c r="D1540" s="232" t="s">
        <v>1045</v>
      </c>
      <c r="E1540" s="233">
        <v>8.98</v>
      </c>
      <c r="I1540" s="219" t="s">
        <v>1045</v>
      </c>
    </row>
    <row r="1541" spans="1:9">
      <c r="A1541" s="257"/>
      <c r="B1541" s="230"/>
      <c r="C1541" s="231"/>
      <c r="D1541" s="234" t="s">
        <v>196</v>
      </c>
      <c r="E1541" s="235">
        <v>40.17</v>
      </c>
      <c r="I1541" s="219" t="s">
        <v>196</v>
      </c>
    </row>
    <row r="1542" spans="1:9">
      <c r="A1542" s="253"/>
    </row>
    <row r="1543" spans="1:9" ht="39.6">
      <c r="A1543" s="253" t="s">
        <v>958</v>
      </c>
      <c r="B1543" s="215" t="s">
        <v>231</v>
      </c>
      <c r="C1543" s="216" t="s">
        <v>23</v>
      </c>
    </row>
    <row r="1544" spans="1:9">
      <c r="A1544" s="255"/>
      <c r="B1544" s="237" t="s">
        <v>347</v>
      </c>
      <c r="C1544" s="238" t="s">
        <v>348</v>
      </c>
      <c r="D1544" s="239" t="s">
        <v>349</v>
      </c>
      <c r="E1544" s="239" t="s">
        <v>350</v>
      </c>
      <c r="I1544" s="219" t="s">
        <v>349</v>
      </c>
    </row>
    <row r="1545" spans="1:9" ht="39.6">
      <c r="A1545" s="256" t="s">
        <v>775</v>
      </c>
      <c r="B1545" s="254" t="s">
        <v>832</v>
      </c>
      <c r="C1545" s="226">
        <v>1</v>
      </c>
      <c r="D1545" s="227">
        <v>31.19</v>
      </c>
      <c r="E1545" s="228">
        <v>31.19</v>
      </c>
      <c r="I1545" s="219">
        <v>31.19</v>
      </c>
    </row>
    <row r="1546" spans="1:9">
      <c r="A1546" s="229"/>
      <c r="B1546" s="230"/>
      <c r="C1546" s="231"/>
      <c r="D1546" s="232" t="s">
        <v>361</v>
      </c>
      <c r="E1546" s="233">
        <v>31.19</v>
      </c>
      <c r="I1546" s="219" t="s">
        <v>361</v>
      </c>
    </row>
    <row r="1547" spans="1:9">
      <c r="A1547" s="229"/>
      <c r="B1547" s="230"/>
      <c r="C1547" s="231"/>
      <c r="D1547" s="232" t="s">
        <v>367</v>
      </c>
      <c r="E1547" s="233">
        <v>31.19</v>
      </c>
      <c r="I1547" s="219" t="s">
        <v>367</v>
      </c>
    </row>
    <row r="1548" spans="1:9">
      <c r="A1548" s="229"/>
      <c r="B1548" s="230"/>
      <c r="C1548" s="231"/>
      <c r="D1548" s="232" t="s">
        <v>1045</v>
      </c>
      <c r="E1548" s="233">
        <v>8.98</v>
      </c>
      <c r="I1548" s="219" t="s">
        <v>1045</v>
      </c>
    </row>
    <row r="1549" spans="1:9">
      <c r="A1549" s="229"/>
      <c r="B1549" s="230"/>
      <c r="C1549" s="231"/>
      <c r="D1549" s="234" t="s">
        <v>196</v>
      </c>
      <c r="E1549" s="235">
        <v>40.17</v>
      </c>
      <c r="I1549" s="219" t="s">
        <v>196</v>
      </c>
    </row>
    <row r="1551" spans="1:9" ht="26.4">
      <c r="A1551" s="214" t="s">
        <v>959</v>
      </c>
      <c r="B1551" s="215" t="s">
        <v>248</v>
      </c>
      <c r="C1551" s="216" t="s">
        <v>23</v>
      </c>
    </row>
    <row r="1552" spans="1:9">
      <c r="A1552" s="220"/>
      <c r="B1552" s="221" t="s">
        <v>347</v>
      </c>
      <c r="C1552" s="222" t="s">
        <v>348</v>
      </c>
      <c r="D1552" s="223" t="s">
        <v>349</v>
      </c>
      <c r="E1552" s="223" t="s">
        <v>350</v>
      </c>
      <c r="I1552" s="219" t="s">
        <v>349</v>
      </c>
    </row>
    <row r="1553" spans="1:9" ht="26.4">
      <c r="A1553" s="224" t="s">
        <v>776</v>
      </c>
      <c r="B1553" s="225" t="s">
        <v>777</v>
      </c>
      <c r="C1553" s="226">
        <v>1</v>
      </c>
      <c r="D1553" s="227">
        <v>320.17</v>
      </c>
      <c r="E1553" s="228">
        <v>320.17</v>
      </c>
      <c r="I1553" s="219">
        <v>320.17</v>
      </c>
    </row>
    <row r="1554" spans="1:9">
      <c r="A1554" s="229"/>
      <c r="B1554" s="230"/>
      <c r="C1554" s="231"/>
      <c r="D1554" s="232" t="s">
        <v>361</v>
      </c>
      <c r="E1554" s="233">
        <v>320.17</v>
      </c>
      <c r="I1554" s="219" t="s">
        <v>361</v>
      </c>
    </row>
    <row r="1555" spans="1:9">
      <c r="A1555" s="229" t="s">
        <v>778</v>
      </c>
      <c r="B1555" s="230" t="s">
        <v>779</v>
      </c>
      <c r="C1555" s="231">
        <v>3</v>
      </c>
      <c r="D1555" s="232">
        <v>10.28</v>
      </c>
      <c r="E1555" s="233">
        <v>30.84</v>
      </c>
      <c r="I1555" s="219">
        <v>10.28</v>
      </c>
    </row>
    <row r="1556" spans="1:9">
      <c r="A1556" s="229" t="s">
        <v>780</v>
      </c>
      <c r="B1556" s="230" t="s">
        <v>781</v>
      </c>
      <c r="C1556" s="231">
        <v>3</v>
      </c>
      <c r="D1556" s="232">
        <v>13.16</v>
      </c>
      <c r="E1556" s="233">
        <v>39.479999999999997</v>
      </c>
      <c r="I1556" s="219">
        <v>13.16</v>
      </c>
    </row>
    <row r="1557" spans="1:9">
      <c r="A1557" s="229"/>
      <c r="B1557" s="230"/>
      <c r="C1557" s="231"/>
      <c r="D1557" s="232" t="s">
        <v>366</v>
      </c>
      <c r="E1557" s="233">
        <v>70.319999999999993</v>
      </c>
      <c r="I1557" s="219" t="s">
        <v>366</v>
      </c>
    </row>
    <row r="1558" spans="1:9">
      <c r="A1558" s="229"/>
      <c r="B1558" s="230"/>
      <c r="C1558" s="231"/>
      <c r="D1558" s="232" t="s">
        <v>367</v>
      </c>
      <c r="E1558" s="233">
        <v>390.49</v>
      </c>
      <c r="I1558" s="219" t="s">
        <v>367</v>
      </c>
    </row>
    <row r="1559" spans="1:9">
      <c r="A1559" s="229"/>
      <c r="B1559" s="230"/>
      <c r="C1559" s="231"/>
      <c r="D1559" s="232" t="s">
        <v>1045</v>
      </c>
      <c r="E1559" s="233">
        <v>112.53</v>
      </c>
      <c r="I1559" s="219" t="s">
        <v>1045</v>
      </c>
    </row>
    <row r="1560" spans="1:9">
      <c r="A1560" s="229"/>
      <c r="B1560" s="230"/>
      <c r="C1560" s="231"/>
      <c r="D1560" s="234" t="s">
        <v>196</v>
      </c>
      <c r="E1560" s="235">
        <v>503.02</v>
      </c>
      <c r="I1560" s="219" t="s">
        <v>196</v>
      </c>
    </row>
    <row r="1562" spans="1:9" ht="26.4">
      <c r="A1562" s="214" t="s">
        <v>960</v>
      </c>
      <c r="B1562" s="215" t="s">
        <v>163</v>
      </c>
      <c r="C1562" s="216" t="s">
        <v>23</v>
      </c>
    </row>
    <row r="1563" spans="1:9">
      <c r="A1563" s="220"/>
      <c r="B1563" s="221" t="s">
        <v>347</v>
      </c>
      <c r="C1563" s="222" t="s">
        <v>348</v>
      </c>
      <c r="D1563" s="223" t="s">
        <v>349</v>
      </c>
      <c r="E1563" s="223" t="s">
        <v>350</v>
      </c>
      <c r="I1563" s="219" t="s">
        <v>349</v>
      </c>
    </row>
    <row r="1564" spans="1:9" ht="26.4">
      <c r="A1564" s="224" t="s">
        <v>782</v>
      </c>
      <c r="B1564" s="225" t="s">
        <v>783</v>
      </c>
      <c r="C1564" s="226">
        <v>1</v>
      </c>
      <c r="D1564" s="227">
        <v>7.74</v>
      </c>
      <c r="E1564" s="228">
        <v>7.74</v>
      </c>
      <c r="I1564" s="219">
        <v>7.74</v>
      </c>
    </row>
    <row r="1565" spans="1:9">
      <c r="A1565" s="229"/>
      <c r="B1565" s="230"/>
      <c r="C1565" s="231"/>
      <c r="D1565" s="232" t="s">
        <v>361</v>
      </c>
      <c r="E1565" s="233">
        <v>7.74</v>
      </c>
      <c r="I1565" s="219" t="s">
        <v>361</v>
      </c>
    </row>
    <row r="1566" spans="1:9">
      <c r="A1566" s="229" t="s">
        <v>780</v>
      </c>
      <c r="B1566" s="230" t="s">
        <v>781</v>
      </c>
      <c r="C1566" s="231">
        <v>0.125</v>
      </c>
      <c r="D1566" s="232">
        <v>13.16</v>
      </c>
      <c r="E1566" s="233">
        <v>1.64</v>
      </c>
      <c r="I1566" s="219">
        <v>13.16</v>
      </c>
    </row>
    <row r="1567" spans="1:9">
      <c r="A1567" s="229"/>
      <c r="B1567" s="230"/>
      <c r="C1567" s="231"/>
      <c r="D1567" s="232" t="s">
        <v>366</v>
      </c>
      <c r="E1567" s="233">
        <v>1.64</v>
      </c>
      <c r="I1567" s="219" t="s">
        <v>366</v>
      </c>
    </row>
    <row r="1568" spans="1:9">
      <c r="A1568" s="229"/>
      <c r="B1568" s="230"/>
      <c r="C1568" s="231"/>
      <c r="D1568" s="232" t="s">
        <v>367</v>
      </c>
      <c r="E1568" s="233">
        <v>9.3800000000000008</v>
      </c>
      <c r="I1568" s="219" t="s">
        <v>367</v>
      </c>
    </row>
    <row r="1569" spans="1:9">
      <c r="A1569" s="229"/>
      <c r="B1569" s="230"/>
      <c r="C1569" s="231"/>
      <c r="D1569" s="232" t="s">
        <v>1045</v>
      </c>
      <c r="E1569" s="233">
        <v>2.7</v>
      </c>
      <c r="I1569" s="219" t="s">
        <v>1045</v>
      </c>
    </row>
    <row r="1570" spans="1:9">
      <c r="A1570" s="229"/>
      <c r="B1570" s="230"/>
      <c r="C1570" s="231"/>
      <c r="D1570" s="234" t="s">
        <v>196</v>
      </c>
      <c r="E1570" s="235">
        <v>12.080000000000002</v>
      </c>
      <c r="I1570" s="219" t="s">
        <v>196</v>
      </c>
    </row>
    <row r="1572" spans="1:9" ht="26.4">
      <c r="A1572" s="214" t="s">
        <v>961</v>
      </c>
      <c r="B1572" s="215" t="s">
        <v>137</v>
      </c>
      <c r="C1572" s="216" t="s">
        <v>23</v>
      </c>
    </row>
    <row r="1573" spans="1:9">
      <c r="A1573" s="220"/>
      <c r="B1573" s="221" t="s">
        <v>347</v>
      </c>
      <c r="C1573" s="222" t="s">
        <v>348</v>
      </c>
      <c r="D1573" s="223" t="s">
        <v>349</v>
      </c>
      <c r="E1573" s="223" t="s">
        <v>350</v>
      </c>
      <c r="I1573" s="219" t="s">
        <v>349</v>
      </c>
    </row>
    <row r="1574" spans="1:9" ht="26.4">
      <c r="A1574" s="224" t="s">
        <v>782</v>
      </c>
      <c r="B1574" s="225" t="s">
        <v>783</v>
      </c>
      <c r="C1574" s="226">
        <v>1</v>
      </c>
      <c r="D1574" s="227">
        <v>7.74</v>
      </c>
      <c r="E1574" s="228">
        <v>7.74</v>
      </c>
      <c r="I1574" s="219">
        <v>7.74</v>
      </c>
    </row>
    <row r="1575" spans="1:9">
      <c r="A1575" s="229"/>
      <c r="B1575" s="230"/>
      <c r="C1575" s="231"/>
      <c r="D1575" s="232" t="s">
        <v>361</v>
      </c>
      <c r="E1575" s="233">
        <v>7.74</v>
      </c>
      <c r="I1575" s="219" t="s">
        <v>361</v>
      </c>
    </row>
    <row r="1576" spans="1:9">
      <c r="A1576" s="229" t="s">
        <v>780</v>
      </c>
      <c r="B1576" s="230" t="s">
        <v>781</v>
      </c>
      <c r="C1576" s="231">
        <v>0.125</v>
      </c>
      <c r="D1576" s="232">
        <v>13.16</v>
      </c>
      <c r="E1576" s="233">
        <v>1.64</v>
      </c>
      <c r="I1576" s="219">
        <v>13.16</v>
      </c>
    </row>
    <row r="1577" spans="1:9">
      <c r="A1577" s="229"/>
      <c r="B1577" s="230"/>
      <c r="C1577" s="231"/>
      <c r="D1577" s="232" t="s">
        <v>366</v>
      </c>
      <c r="E1577" s="233">
        <v>1.64</v>
      </c>
      <c r="I1577" s="219" t="s">
        <v>366</v>
      </c>
    </row>
    <row r="1578" spans="1:9">
      <c r="A1578" s="229"/>
      <c r="B1578" s="230"/>
      <c r="C1578" s="231"/>
      <c r="D1578" s="232" t="s">
        <v>367</v>
      </c>
      <c r="E1578" s="233">
        <v>9.3800000000000008</v>
      </c>
      <c r="I1578" s="219" t="s">
        <v>367</v>
      </c>
    </row>
    <row r="1579" spans="1:9">
      <c r="A1579" s="229"/>
      <c r="B1579" s="230"/>
      <c r="C1579" s="231"/>
      <c r="D1579" s="232" t="s">
        <v>1045</v>
      </c>
      <c r="E1579" s="233">
        <v>2.7</v>
      </c>
      <c r="I1579" s="219" t="s">
        <v>1045</v>
      </c>
    </row>
    <row r="1580" spans="1:9">
      <c r="A1580" s="229"/>
      <c r="B1580" s="230"/>
      <c r="C1580" s="231"/>
      <c r="D1580" s="234" t="s">
        <v>196</v>
      </c>
      <c r="E1580" s="235">
        <v>12.080000000000002</v>
      </c>
      <c r="I1580" s="219" t="s">
        <v>196</v>
      </c>
    </row>
    <row r="1582" spans="1:9" ht="26.4">
      <c r="A1582" s="214" t="s">
        <v>962</v>
      </c>
      <c r="B1582" s="215" t="s">
        <v>249</v>
      </c>
      <c r="C1582" s="216" t="s">
        <v>23</v>
      </c>
    </row>
    <row r="1583" spans="1:9">
      <c r="A1583" s="220"/>
      <c r="B1583" s="221" t="s">
        <v>347</v>
      </c>
      <c r="C1583" s="222" t="s">
        <v>348</v>
      </c>
      <c r="D1583" s="223" t="s">
        <v>349</v>
      </c>
      <c r="E1583" s="223" t="s">
        <v>350</v>
      </c>
      <c r="I1583" s="219" t="s">
        <v>349</v>
      </c>
    </row>
    <row r="1584" spans="1:9">
      <c r="A1584" s="224" t="s">
        <v>784</v>
      </c>
      <c r="B1584" s="225" t="s">
        <v>785</v>
      </c>
      <c r="C1584" s="226">
        <v>1</v>
      </c>
      <c r="D1584" s="227">
        <v>41.63</v>
      </c>
      <c r="E1584" s="228">
        <v>41.63</v>
      </c>
      <c r="I1584" s="219">
        <v>41.63</v>
      </c>
    </row>
    <row r="1585" spans="1:9">
      <c r="A1585" s="229"/>
      <c r="B1585" s="230"/>
      <c r="C1585" s="231"/>
      <c r="D1585" s="232" t="s">
        <v>361</v>
      </c>
      <c r="E1585" s="233">
        <v>41.63</v>
      </c>
      <c r="I1585" s="219" t="s">
        <v>361</v>
      </c>
    </row>
    <row r="1586" spans="1:9">
      <c r="A1586" s="229" t="s">
        <v>780</v>
      </c>
      <c r="B1586" s="230" t="s">
        <v>781</v>
      </c>
      <c r="C1586" s="231">
        <v>0.15</v>
      </c>
      <c r="D1586" s="232">
        <v>13.16</v>
      </c>
      <c r="E1586" s="233">
        <v>1.97</v>
      </c>
      <c r="I1586" s="219">
        <v>13.16</v>
      </c>
    </row>
    <row r="1587" spans="1:9">
      <c r="A1587" s="229"/>
      <c r="B1587" s="230"/>
      <c r="C1587" s="231"/>
      <c r="D1587" s="232" t="s">
        <v>366</v>
      </c>
      <c r="E1587" s="233">
        <v>1.97</v>
      </c>
      <c r="I1587" s="219" t="s">
        <v>366</v>
      </c>
    </row>
    <row r="1588" spans="1:9">
      <c r="A1588" s="229"/>
      <c r="B1588" s="230"/>
      <c r="C1588" s="231"/>
      <c r="D1588" s="232" t="s">
        <v>367</v>
      </c>
      <c r="E1588" s="233">
        <v>43.6</v>
      </c>
      <c r="I1588" s="219" t="s">
        <v>367</v>
      </c>
    </row>
    <row r="1589" spans="1:9">
      <c r="A1589" s="229"/>
      <c r="B1589" s="230"/>
      <c r="C1589" s="231"/>
      <c r="D1589" s="232" t="s">
        <v>1045</v>
      </c>
      <c r="E1589" s="233">
        <v>12.56</v>
      </c>
      <c r="I1589" s="219" t="s">
        <v>1045</v>
      </c>
    </row>
    <row r="1590" spans="1:9">
      <c r="A1590" s="229"/>
      <c r="B1590" s="230"/>
      <c r="C1590" s="231"/>
      <c r="D1590" s="234" t="s">
        <v>196</v>
      </c>
      <c r="E1590" s="235">
        <v>56.160000000000004</v>
      </c>
      <c r="I1590" s="219" t="s">
        <v>196</v>
      </c>
    </row>
    <row r="1592" spans="1:9" ht="26.4">
      <c r="A1592" s="214" t="s">
        <v>963</v>
      </c>
      <c r="B1592" s="215" t="s">
        <v>199</v>
      </c>
      <c r="C1592" s="216" t="s">
        <v>23</v>
      </c>
    </row>
    <row r="1593" spans="1:9">
      <c r="A1593" s="220"/>
      <c r="B1593" s="221" t="s">
        <v>347</v>
      </c>
      <c r="C1593" s="222" t="s">
        <v>348</v>
      </c>
      <c r="D1593" s="223" t="s">
        <v>349</v>
      </c>
      <c r="E1593" s="223" t="s">
        <v>350</v>
      </c>
      <c r="I1593" s="219" t="s">
        <v>349</v>
      </c>
    </row>
    <row r="1594" spans="1:9">
      <c r="A1594" s="224" t="s">
        <v>784</v>
      </c>
      <c r="B1594" s="225" t="s">
        <v>785</v>
      </c>
      <c r="C1594" s="226">
        <v>1</v>
      </c>
      <c r="D1594" s="227">
        <v>41.63</v>
      </c>
      <c r="E1594" s="228">
        <v>41.63</v>
      </c>
      <c r="I1594" s="219">
        <v>41.63</v>
      </c>
    </row>
    <row r="1595" spans="1:9">
      <c r="A1595" s="229"/>
      <c r="B1595" s="230"/>
      <c r="C1595" s="231"/>
      <c r="D1595" s="232" t="s">
        <v>361</v>
      </c>
      <c r="E1595" s="233">
        <v>41.63</v>
      </c>
      <c r="I1595" s="219" t="s">
        <v>361</v>
      </c>
    </row>
    <row r="1596" spans="1:9">
      <c r="A1596" s="229" t="s">
        <v>780</v>
      </c>
      <c r="B1596" s="230" t="s">
        <v>781</v>
      </c>
      <c r="C1596" s="231">
        <v>0.15</v>
      </c>
      <c r="D1596" s="232">
        <v>13.16</v>
      </c>
      <c r="E1596" s="233">
        <v>1.97</v>
      </c>
      <c r="I1596" s="219">
        <v>13.16</v>
      </c>
    </row>
    <row r="1597" spans="1:9">
      <c r="A1597" s="229"/>
      <c r="B1597" s="230"/>
      <c r="C1597" s="231"/>
      <c r="D1597" s="232" t="s">
        <v>366</v>
      </c>
      <c r="E1597" s="233">
        <v>1.97</v>
      </c>
      <c r="I1597" s="219" t="s">
        <v>366</v>
      </c>
    </row>
    <row r="1598" spans="1:9">
      <c r="A1598" s="229"/>
      <c r="B1598" s="230"/>
      <c r="C1598" s="231"/>
      <c r="D1598" s="232" t="s">
        <v>367</v>
      </c>
      <c r="E1598" s="233">
        <v>43.6</v>
      </c>
      <c r="I1598" s="219" t="s">
        <v>367</v>
      </c>
    </row>
    <row r="1599" spans="1:9">
      <c r="A1599" s="229"/>
      <c r="B1599" s="230"/>
      <c r="C1599" s="231"/>
      <c r="D1599" s="232" t="s">
        <v>1045</v>
      </c>
      <c r="E1599" s="233">
        <v>12.56</v>
      </c>
      <c r="I1599" s="219" t="s">
        <v>1045</v>
      </c>
    </row>
    <row r="1600" spans="1:9">
      <c r="A1600" s="229"/>
      <c r="B1600" s="230"/>
      <c r="C1600" s="231"/>
      <c r="D1600" s="234" t="s">
        <v>196</v>
      </c>
      <c r="E1600" s="235">
        <v>56.160000000000004</v>
      </c>
      <c r="I1600" s="219" t="s">
        <v>196</v>
      </c>
    </row>
    <row r="1602" spans="1:9" ht="26.4">
      <c r="A1602" s="214" t="s">
        <v>964</v>
      </c>
      <c r="B1602" s="215" t="s">
        <v>164</v>
      </c>
      <c r="C1602" s="216" t="s">
        <v>32</v>
      </c>
    </row>
    <row r="1603" spans="1:9">
      <c r="A1603" s="220"/>
      <c r="B1603" s="221" t="s">
        <v>347</v>
      </c>
      <c r="C1603" s="222" t="s">
        <v>348</v>
      </c>
      <c r="D1603" s="223" t="s">
        <v>349</v>
      </c>
      <c r="E1603" s="223" t="s">
        <v>350</v>
      </c>
      <c r="I1603" s="219" t="s">
        <v>349</v>
      </c>
    </row>
    <row r="1604" spans="1:9">
      <c r="A1604" s="224" t="s">
        <v>786</v>
      </c>
      <c r="B1604" s="225" t="s">
        <v>787</v>
      </c>
      <c r="C1604" s="226">
        <v>1.0169999999999999</v>
      </c>
      <c r="D1604" s="227">
        <v>1.04</v>
      </c>
      <c r="E1604" s="228">
        <v>1.05</v>
      </c>
      <c r="I1604" s="219">
        <v>1.04</v>
      </c>
    </row>
    <row r="1605" spans="1:9">
      <c r="A1605" s="229"/>
      <c r="B1605" s="230"/>
      <c r="C1605" s="231"/>
      <c r="D1605" s="232" t="s">
        <v>361</v>
      </c>
      <c r="E1605" s="233">
        <v>1.05</v>
      </c>
      <c r="I1605" s="219" t="s">
        <v>361</v>
      </c>
    </row>
    <row r="1606" spans="1:9">
      <c r="A1606" s="229" t="s">
        <v>778</v>
      </c>
      <c r="B1606" s="230" t="s">
        <v>779</v>
      </c>
      <c r="C1606" s="231">
        <v>0.14399999999999999</v>
      </c>
      <c r="D1606" s="232">
        <v>10.28</v>
      </c>
      <c r="E1606" s="233">
        <v>1.48</v>
      </c>
      <c r="I1606" s="219">
        <v>10.28</v>
      </c>
    </row>
    <row r="1607" spans="1:9">
      <c r="A1607" s="229" t="s">
        <v>780</v>
      </c>
      <c r="B1607" s="230" t="s">
        <v>781</v>
      </c>
      <c r="C1607" s="231">
        <v>0.14399999999999999</v>
      </c>
      <c r="D1607" s="232">
        <v>13.16</v>
      </c>
      <c r="E1607" s="233">
        <v>1.89</v>
      </c>
      <c r="I1607" s="219">
        <v>13.16</v>
      </c>
    </row>
    <row r="1608" spans="1:9">
      <c r="A1608" s="229"/>
      <c r="B1608" s="230"/>
      <c r="C1608" s="231"/>
      <c r="D1608" s="232" t="s">
        <v>366</v>
      </c>
      <c r="E1608" s="233">
        <v>3.37</v>
      </c>
      <c r="I1608" s="219" t="s">
        <v>366</v>
      </c>
    </row>
    <row r="1609" spans="1:9">
      <c r="A1609" s="229"/>
      <c r="B1609" s="230"/>
      <c r="C1609" s="231"/>
      <c r="D1609" s="232" t="s">
        <v>367</v>
      </c>
      <c r="E1609" s="233">
        <v>4.42</v>
      </c>
      <c r="I1609" s="219" t="s">
        <v>367</v>
      </c>
    </row>
    <row r="1610" spans="1:9">
      <c r="A1610" s="229"/>
      <c r="B1610" s="230"/>
      <c r="C1610" s="231"/>
      <c r="D1610" s="232" t="s">
        <v>1045</v>
      </c>
      <c r="E1610" s="233">
        <v>1.27</v>
      </c>
      <c r="I1610" s="219" t="s">
        <v>1045</v>
      </c>
    </row>
    <row r="1611" spans="1:9">
      <c r="A1611" s="229"/>
      <c r="B1611" s="230"/>
      <c r="C1611" s="231"/>
      <c r="D1611" s="234" t="s">
        <v>196</v>
      </c>
      <c r="E1611" s="235">
        <v>5.6899999999999995</v>
      </c>
      <c r="I1611" s="219" t="s">
        <v>196</v>
      </c>
    </row>
    <row r="1613" spans="1:9" ht="26.4">
      <c r="A1613" s="214" t="s">
        <v>965</v>
      </c>
      <c r="B1613" s="215" t="s">
        <v>258</v>
      </c>
      <c r="C1613" s="216" t="s">
        <v>23</v>
      </c>
    </row>
    <row r="1614" spans="1:9">
      <c r="A1614" s="220"/>
      <c r="B1614" s="221" t="s">
        <v>347</v>
      </c>
      <c r="C1614" s="222" t="s">
        <v>348</v>
      </c>
      <c r="D1614" s="223" t="s">
        <v>349</v>
      </c>
      <c r="E1614" s="223" t="s">
        <v>350</v>
      </c>
      <c r="I1614" s="219" t="s">
        <v>349</v>
      </c>
    </row>
    <row r="1615" spans="1:9" ht="26.4">
      <c r="A1615" s="224" t="s">
        <v>789</v>
      </c>
      <c r="B1615" s="225" t="s">
        <v>790</v>
      </c>
      <c r="C1615" s="226">
        <v>1</v>
      </c>
      <c r="D1615" s="227">
        <v>1.68</v>
      </c>
      <c r="E1615" s="228">
        <v>1.68</v>
      </c>
      <c r="I1615" s="219">
        <v>1.68</v>
      </c>
    </row>
    <row r="1616" spans="1:9" ht="26.4">
      <c r="A1616" s="229" t="s">
        <v>791</v>
      </c>
      <c r="B1616" s="230" t="s">
        <v>792</v>
      </c>
      <c r="C1616" s="231">
        <v>1</v>
      </c>
      <c r="D1616" s="232">
        <v>0.87</v>
      </c>
      <c r="E1616" s="233">
        <v>0.87</v>
      </c>
      <c r="I1616" s="219">
        <v>0.87</v>
      </c>
    </row>
    <row r="1617" spans="1:9">
      <c r="A1617" s="229"/>
      <c r="B1617" s="230"/>
      <c r="C1617" s="231"/>
      <c r="D1617" s="232" t="s">
        <v>361</v>
      </c>
      <c r="E1617" s="233">
        <v>2.5499999999999998</v>
      </c>
      <c r="I1617" s="219" t="s">
        <v>361</v>
      </c>
    </row>
    <row r="1618" spans="1:9">
      <c r="A1618" s="229" t="s">
        <v>780</v>
      </c>
      <c r="B1618" s="230" t="s">
        <v>781</v>
      </c>
      <c r="C1618" s="231">
        <v>0.124</v>
      </c>
      <c r="D1618" s="232">
        <v>13.16</v>
      </c>
      <c r="E1618" s="233">
        <v>1.63</v>
      </c>
      <c r="I1618" s="219">
        <v>13.16</v>
      </c>
    </row>
    <row r="1619" spans="1:9">
      <c r="A1619" s="229"/>
      <c r="B1619" s="230"/>
      <c r="C1619" s="231"/>
      <c r="D1619" s="232" t="s">
        <v>366</v>
      </c>
      <c r="E1619" s="233">
        <v>1.63</v>
      </c>
      <c r="I1619" s="219" t="s">
        <v>366</v>
      </c>
    </row>
    <row r="1620" spans="1:9">
      <c r="A1620" s="229"/>
      <c r="B1620" s="230"/>
      <c r="C1620" s="231"/>
      <c r="D1620" s="232" t="s">
        <v>367</v>
      </c>
      <c r="E1620" s="233">
        <v>4.18</v>
      </c>
      <c r="I1620" s="219" t="s">
        <v>367</v>
      </c>
    </row>
    <row r="1621" spans="1:9">
      <c r="A1621" s="229"/>
      <c r="B1621" s="230"/>
      <c r="C1621" s="231"/>
      <c r="D1621" s="232" t="s">
        <v>1045</v>
      </c>
      <c r="E1621" s="233">
        <v>1.2</v>
      </c>
      <c r="I1621" s="219" t="s">
        <v>1045</v>
      </c>
    </row>
    <row r="1622" spans="1:9">
      <c r="A1622" s="229"/>
      <c r="B1622" s="230"/>
      <c r="C1622" s="231"/>
      <c r="D1622" s="234" t="s">
        <v>196</v>
      </c>
      <c r="E1622" s="235">
        <v>5.38</v>
      </c>
      <c r="I1622" s="219" t="s">
        <v>196</v>
      </c>
    </row>
    <row r="1624" spans="1:9" ht="26.4">
      <c r="A1624" s="253" t="s">
        <v>966</v>
      </c>
      <c r="B1624" s="215" t="s">
        <v>260</v>
      </c>
      <c r="C1624" s="216" t="s">
        <v>23</v>
      </c>
    </row>
    <row r="1625" spans="1:9">
      <c r="A1625" s="236"/>
      <c r="B1625" s="237" t="s">
        <v>347</v>
      </c>
      <c r="C1625" s="238" t="s">
        <v>348</v>
      </c>
      <c r="D1625" s="239" t="s">
        <v>349</v>
      </c>
      <c r="E1625" s="239" t="s">
        <v>350</v>
      </c>
      <c r="I1625" s="219" t="s">
        <v>349</v>
      </c>
    </row>
    <row r="1626" spans="1:9" ht="26.4">
      <c r="A1626" s="256" t="s">
        <v>793</v>
      </c>
      <c r="B1626" s="254" t="s">
        <v>833</v>
      </c>
      <c r="C1626" s="226">
        <v>1</v>
      </c>
      <c r="D1626" s="227">
        <v>4.49</v>
      </c>
      <c r="E1626" s="228">
        <v>4.49</v>
      </c>
      <c r="I1626" s="219">
        <v>4.49</v>
      </c>
    </row>
    <row r="1627" spans="1:9">
      <c r="A1627" s="229"/>
      <c r="B1627" s="230"/>
      <c r="C1627" s="231"/>
      <c r="D1627" s="232" t="s">
        <v>361</v>
      </c>
      <c r="E1627" s="233">
        <v>4.49</v>
      </c>
      <c r="I1627" s="219" t="s">
        <v>361</v>
      </c>
    </row>
    <row r="1628" spans="1:9">
      <c r="A1628" s="229"/>
      <c r="B1628" s="230"/>
      <c r="C1628" s="231"/>
      <c r="D1628" s="232" t="s">
        <v>367</v>
      </c>
      <c r="E1628" s="233">
        <v>4.49</v>
      </c>
      <c r="I1628" s="219" t="s">
        <v>367</v>
      </c>
    </row>
    <row r="1629" spans="1:9">
      <c r="A1629" s="229"/>
      <c r="B1629" s="230"/>
      <c r="C1629" s="231"/>
      <c r="D1629" s="232" t="s">
        <v>1045</v>
      </c>
      <c r="E1629" s="233">
        <v>1.29</v>
      </c>
      <c r="I1629" s="219" t="s">
        <v>1045</v>
      </c>
    </row>
    <row r="1630" spans="1:9">
      <c r="A1630" s="229"/>
      <c r="B1630" s="230"/>
      <c r="C1630" s="231"/>
      <c r="D1630" s="234" t="s">
        <v>196</v>
      </c>
      <c r="E1630" s="235">
        <v>5.78</v>
      </c>
      <c r="I1630" s="219" t="s">
        <v>196</v>
      </c>
    </row>
    <row r="1632" spans="1:9" ht="26.4">
      <c r="A1632" s="214" t="s">
        <v>967</v>
      </c>
      <c r="B1632" s="215" t="s">
        <v>251</v>
      </c>
      <c r="C1632" s="216" t="s">
        <v>32</v>
      </c>
    </row>
    <row r="1633" spans="1:9">
      <c r="A1633" s="220"/>
      <c r="B1633" s="221" t="s">
        <v>347</v>
      </c>
      <c r="C1633" s="222" t="s">
        <v>348</v>
      </c>
      <c r="D1633" s="223" t="s">
        <v>349</v>
      </c>
      <c r="E1633" s="223" t="s">
        <v>350</v>
      </c>
      <c r="I1633" s="219" t="s">
        <v>349</v>
      </c>
    </row>
    <row r="1634" spans="1:9" ht="26.4">
      <c r="A1634" s="224" t="s">
        <v>794</v>
      </c>
      <c r="B1634" s="225" t="s">
        <v>795</v>
      </c>
      <c r="C1634" s="226">
        <v>1.19</v>
      </c>
      <c r="D1634" s="227">
        <v>0.74</v>
      </c>
      <c r="E1634" s="228">
        <v>0.88</v>
      </c>
      <c r="I1634" s="219">
        <v>0.74</v>
      </c>
    </row>
    <row r="1635" spans="1:9" ht="26.4">
      <c r="A1635" s="229" t="s">
        <v>796</v>
      </c>
      <c r="B1635" s="230" t="s">
        <v>797</v>
      </c>
      <c r="C1635" s="231">
        <v>8.9999999999999993E-3</v>
      </c>
      <c r="D1635" s="232">
        <v>1.7</v>
      </c>
      <c r="E1635" s="233">
        <v>0.01</v>
      </c>
      <c r="I1635" s="219">
        <v>1.7</v>
      </c>
    </row>
    <row r="1636" spans="1:9">
      <c r="A1636" s="229"/>
      <c r="B1636" s="230"/>
      <c r="C1636" s="231"/>
      <c r="D1636" s="232" t="s">
        <v>361</v>
      </c>
      <c r="E1636" s="233">
        <v>0.89</v>
      </c>
      <c r="I1636" s="219" t="s">
        <v>361</v>
      </c>
    </row>
    <row r="1637" spans="1:9">
      <c r="A1637" s="229" t="s">
        <v>778</v>
      </c>
      <c r="B1637" s="230" t="s">
        <v>779</v>
      </c>
      <c r="C1637" s="231">
        <v>0.03</v>
      </c>
      <c r="D1637" s="232">
        <v>10.28</v>
      </c>
      <c r="E1637" s="233">
        <v>0.3</v>
      </c>
      <c r="I1637" s="219">
        <v>10.28</v>
      </c>
    </row>
    <row r="1638" spans="1:9">
      <c r="A1638" s="229" t="s">
        <v>780</v>
      </c>
      <c r="B1638" s="230" t="s">
        <v>781</v>
      </c>
      <c r="C1638" s="231">
        <v>0.03</v>
      </c>
      <c r="D1638" s="232">
        <v>13.16</v>
      </c>
      <c r="E1638" s="233">
        <v>0.39</v>
      </c>
      <c r="I1638" s="219">
        <v>13.16</v>
      </c>
    </row>
    <row r="1639" spans="1:9">
      <c r="A1639" s="229"/>
      <c r="B1639" s="230"/>
      <c r="C1639" s="231"/>
      <c r="D1639" s="232" t="s">
        <v>366</v>
      </c>
      <c r="E1639" s="233">
        <v>0.69</v>
      </c>
      <c r="I1639" s="219" t="s">
        <v>366</v>
      </c>
    </row>
    <row r="1640" spans="1:9">
      <c r="A1640" s="229"/>
      <c r="B1640" s="230"/>
      <c r="C1640" s="231"/>
      <c r="D1640" s="232" t="s">
        <v>367</v>
      </c>
      <c r="E1640" s="233">
        <v>1.58</v>
      </c>
      <c r="I1640" s="219" t="s">
        <v>367</v>
      </c>
    </row>
    <row r="1641" spans="1:9">
      <c r="A1641" s="229"/>
      <c r="B1641" s="230"/>
      <c r="C1641" s="231"/>
      <c r="D1641" s="232" t="s">
        <v>1045</v>
      </c>
      <c r="E1641" s="233">
        <v>0.45</v>
      </c>
      <c r="I1641" s="219" t="s">
        <v>1045</v>
      </c>
    </row>
    <row r="1642" spans="1:9">
      <c r="A1642" s="229"/>
      <c r="B1642" s="230"/>
      <c r="C1642" s="231"/>
      <c r="D1642" s="234" t="s">
        <v>196</v>
      </c>
      <c r="E1642" s="235">
        <v>2.0300000000000002</v>
      </c>
      <c r="I1642" s="219" t="s">
        <v>196</v>
      </c>
    </row>
    <row r="1644" spans="1:9" ht="26.4">
      <c r="A1644" s="214" t="s">
        <v>968</v>
      </c>
      <c r="B1644" s="215" t="s">
        <v>250</v>
      </c>
      <c r="C1644" s="216" t="s">
        <v>32</v>
      </c>
    </row>
    <row r="1645" spans="1:9">
      <c r="A1645" s="220"/>
      <c r="B1645" s="221" t="s">
        <v>347</v>
      </c>
      <c r="C1645" s="222" t="s">
        <v>348</v>
      </c>
      <c r="D1645" s="223" t="s">
        <v>349</v>
      </c>
      <c r="E1645" s="223" t="s">
        <v>350</v>
      </c>
      <c r="I1645" s="219" t="s">
        <v>349</v>
      </c>
    </row>
    <row r="1646" spans="1:9" ht="26.4">
      <c r="A1646" s="224" t="s">
        <v>794</v>
      </c>
      <c r="B1646" s="225" t="s">
        <v>795</v>
      </c>
      <c r="C1646" s="226">
        <v>1.19</v>
      </c>
      <c r="D1646" s="227">
        <v>0.74</v>
      </c>
      <c r="E1646" s="228">
        <v>0.88</v>
      </c>
      <c r="I1646" s="219">
        <v>0.74</v>
      </c>
    </row>
    <row r="1647" spans="1:9" ht="26.4">
      <c r="A1647" s="229" t="s">
        <v>796</v>
      </c>
      <c r="B1647" s="230" t="s">
        <v>797</v>
      </c>
      <c r="C1647" s="231">
        <v>8.9999999999999993E-3</v>
      </c>
      <c r="D1647" s="232">
        <v>1.7</v>
      </c>
      <c r="E1647" s="233">
        <v>0.01</v>
      </c>
      <c r="I1647" s="219">
        <v>1.7</v>
      </c>
    </row>
    <row r="1648" spans="1:9">
      <c r="A1648" s="229"/>
      <c r="B1648" s="230"/>
      <c r="C1648" s="231"/>
      <c r="D1648" s="232" t="s">
        <v>361</v>
      </c>
      <c r="E1648" s="233">
        <v>0.89</v>
      </c>
      <c r="I1648" s="219" t="s">
        <v>361</v>
      </c>
    </row>
    <row r="1649" spans="1:9">
      <c r="A1649" s="229" t="s">
        <v>778</v>
      </c>
      <c r="B1649" s="230" t="s">
        <v>779</v>
      </c>
      <c r="C1649" s="231">
        <v>0.03</v>
      </c>
      <c r="D1649" s="232">
        <v>10.28</v>
      </c>
      <c r="E1649" s="233">
        <v>0.3</v>
      </c>
      <c r="I1649" s="219">
        <v>10.28</v>
      </c>
    </row>
    <row r="1650" spans="1:9">
      <c r="A1650" s="229" t="s">
        <v>780</v>
      </c>
      <c r="B1650" s="230" t="s">
        <v>781</v>
      </c>
      <c r="C1650" s="231">
        <v>0.03</v>
      </c>
      <c r="D1650" s="232">
        <v>13.16</v>
      </c>
      <c r="E1650" s="233">
        <v>0.39</v>
      </c>
      <c r="I1650" s="219">
        <v>13.16</v>
      </c>
    </row>
    <row r="1651" spans="1:9">
      <c r="A1651" s="229"/>
      <c r="B1651" s="230"/>
      <c r="C1651" s="231"/>
      <c r="D1651" s="232" t="s">
        <v>366</v>
      </c>
      <c r="E1651" s="233">
        <v>0.69</v>
      </c>
      <c r="I1651" s="219" t="s">
        <v>366</v>
      </c>
    </row>
    <row r="1652" spans="1:9">
      <c r="A1652" s="229"/>
      <c r="B1652" s="230"/>
      <c r="C1652" s="231"/>
      <c r="D1652" s="232" t="s">
        <v>367</v>
      </c>
      <c r="E1652" s="233">
        <v>1.58</v>
      </c>
      <c r="I1652" s="219" t="s">
        <v>367</v>
      </c>
    </row>
    <row r="1653" spans="1:9">
      <c r="A1653" s="229"/>
      <c r="B1653" s="230"/>
      <c r="C1653" s="231"/>
      <c r="D1653" s="232" t="s">
        <v>1045</v>
      </c>
      <c r="E1653" s="233">
        <v>0.45</v>
      </c>
      <c r="I1653" s="219" t="s">
        <v>1045</v>
      </c>
    </row>
    <row r="1654" spans="1:9">
      <c r="A1654" s="229"/>
      <c r="B1654" s="230"/>
      <c r="C1654" s="231"/>
      <c r="D1654" s="234" t="s">
        <v>196</v>
      </c>
      <c r="E1654" s="235">
        <v>2.0300000000000002</v>
      </c>
      <c r="I1654" s="219" t="s">
        <v>196</v>
      </c>
    </row>
    <row r="1656" spans="1:9" ht="26.4">
      <c r="A1656" s="214" t="s">
        <v>969</v>
      </c>
      <c r="B1656" s="215" t="s">
        <v>253</v>
      </c>
      <c r="C1656" s="216" t="s">
        <v>32</v>
      </c>
    </row>
    <row r="1657" spans="1:9">
      <c r="A1657" s="220"/>
      <c r="B1657" s="221" t="s">
        <v>347</v>
      </c>
      <c r="C1657" s="222" t="s">
        <v>348</v>
      </c>
      <c r="D1657" s="223" t="s">
        <v>349</v>
      </c>
      <c r="E1657" s="223" t="s">
        <v>350</v>
      </c>
      <c r="I1657" s="219" t="s">
        <v>349</v>
      </c>
    </row>
    <row r="1658" spans="1:9" ht="26.4">
      <c r="A1658" s="224" t="s">
        <v>798</v>
      </c>
      <c r="B1658" s="225" t="s">
        <v>799</v>
      </c>
      <c r="C1658" s="226">
        <v>1.19</v>
      </c>
      <c r="D1658" s="227">
        <v>3.18</v>
      </c>
      <c r="E1658" s="228">
        <v>3.78</v>
      </c>
      <c r="I1658" s="219">
        <v>3.18</v>
      </c>
    </row>
    <row r="1659" spans="1:9" ht="26.4">
      <c r="A1659" s="229" t="s">
        <v>796</v>
      </c>
      <c r="B1659" s="230" t="s">
        <v>797</v>
      </c>
      <c r="C1659" s="231">
        <v>8.9999999999999993E-3</v>
      </c>
      <c r="D1659" s="232">
        <v>1.7</v>
      </c>
      <c r="E1659" s="233">
        <v>0.01</v>
      </c>
      <c r="I1659" s="219">
        <v>1.7</v>
      </c>
    </row>
    <row r="1660" spans="1:9">
      <c r="A1660" s="229"/>
      <c r="B1660" s="230"/>
      <c r="C1660" s="231"/>
      <c r="D1660" s="232" t="s">
        <v>361</v>
      </c>
      <c r="E1660" s="233">
        <v>3.7899999999999996</v>
      </c>
      <c r="I1660" s="219" t="s">
        <v>361</v>
      </c>
    </row>
    <row r="1661" spans="1:9">
      <c r="A1661" s="229" t="s">
        <v>778</v>
      </c>
      <c r="B1661" s="230" t="s">
        <v>779</v>
      </c>
      <c r="C1661" s="231">
        <v>7.6999999999999999E-2</v>
      </c>
      <c r="D1661" s="232">
        <v>10.28</v>
      </c>
      <c r="E1661" s="233">
        <v>0.79</v>
      </c>
      <c r="I1661" s="219">
        <v>10.28</v>
      </c>
    </row>
    <row r="1662" spans="1:9">
      <c r="A1662" s="229" t="s">
        <v>780</v>
      </c>
      <c r="B1662" s="230" t="s">
        <v>781</v>
      </c>
      <c r="C1662" s="231">
        <v>7.6999999999999999E-2</v>
      </c>
      <c r="D1662" s="232">
        <v>13.16</v>
      </c>
      <c r="E1662" s="233">
        <v>1.01</v>
      </c>
      <c r="I1662" s="219">
        <v>13.16</v>
      </c>
    </row>
    <row r="1663" spans="1:9">
      <c r="A1663" s="229"/>
      <c r="B1663" s="230"/>
      <c r="C1663" s="231"/>
      <c r="D1663" s="232" t="s">
        <v>366</v>
      </c>
      <c r="E1663" s="233">
        <v>1.8</v>
      </c>
      <c r="I1663" s="219" t="s">
        <v>366</v>
      </c>
    </row>
    <row r="1664" spans="1:9">
      <c r="A1664" s="229"/>
      <c r="B1664" s="230"/>
      <c r="C1664" s="231"/>
      <c r="D1664" s="232" t="s">
        <v>367</v>
      </c>
      <c r="E1664" s="233">
        <v>5.59</v>
      </c>
      <c r="I1664" s="219" t="s">
        <v>367</v>
      </c>
    </row>
    <row r="1665" spans="1:9">
      <c r="A1665" s="229"/>
      <c r="B1665" s="230"/>
      <c r="C1665" s="231"/>
      <c r="D1665" s="232" t="s">
        <v>1045</v>
      </c>
      <c r="E1665" s="233">
        <v>1.61</v>
      </c>
      <c r="I1665" s="219" t="s">
        <v>1045</v>
      </c>
    </row>
    <row r="1666" spans="1:9">
      <c r="A1666" s="229"/>
      <c r="B1666" s="230"/>
      <c r="C1666" s="231"/>
      <c r="D1666" s="234" t="s">
        <v>196</v>
      </c>
      <c r="E1666" s="235">
        <v>7.2</v>
      </c>
      <c r="I1666" s="219" t="s">
        <v>196</v>
      </c>
    </row>
    <row r="1668" spans="1:9" ht="26.4">
      <c r="A1668" s="214" t="s">
        <v>970</v>
      </c>
      <c r="B1668" s="215" t="s">
        <v>252</v>
      </c>
      <c r="C1668" s="216" t="s">
        <v>32</v>
      </c>
    </row>
    <row r="1669" spans="1:9">
      <c r="A1669" s="220"/>
      <c r="B1669" s="221" t="s">
        <v>347</v>
      </c>
      <c r="C1669" s="222" t="s">
        <v>348</v>
      </c>
      <c r="D1669" s="223" t="s">
        <v>349</v>
      </c>
      <c r="E1669" s="223" t="s">
        <v>350</v>
      </c>
      <c r="I1669" s="219" t="s">
        <v>349</v>
      </c>
    </row>
    <row r="1670" spans="1:9" ht="26.4">
      <c r="A1670" s="224" t="s">
        <v>798</v>
      </c>
      <c r="B1670" s="225" t="s">
        <v>799</v>
      </c>
      <c r="C1670" s="226">
        <v>1.19</v>
      </c>
      <c r="D1670" s="227">
        <v>3.18</v>
      </c>
      <c r="E1670" s="228">
        <v>3.78</v>
      </c>
      <c r="I1670" s="219">
        <v>3.18</v>
      </c>
    </row>
    <row r="1671" spans="1:9" ht="26.4">
      <c r="A1671" s="229" t="s">
        <v>796</v>
      </c>
      <c r="B1671" s="230" t="s">
        <v>797</v>
      </c>
      <c r="C1671" s="231">
        <v>8.9999999999999993E-3</v>
      </c>
      <c r="D1671" s="232">
        <v>1.7</v>
      </c>
      <c r="E1671" s="233">
        <v>0.01</v>
      </c>
      <c r="I1671" s="219">
        <v>1.7</v>
      </c>
    </row>
    <row r="1672" spans="1:9">
      <c r="A1672" s="229"/>
      <c r="B1672" s="230"/>
      <c r="C1672" s="231"/>
      <c r="D1672" s="232" t="s">
        <v>361</v>
      </c>
      <c r="E1672" s="233">
        <v>3.7899999999999996</v>
      </c>
      <c r="I1672" s="219" t="s">
        <v>361</v>
      </c>
    </row>
    <row r="1673" spans="1:9">
      <c r="A1673" s="229" t="s">
        <v>778</v>
      </c>
      <c r="B1673" s="230" t="s">
        <v>779</v>
      </c>
      <c r="C1673" s="231">
        <v>7.6999999999999999E-2</v>
      </c>
      <c r="D1673" s="232">
        <v>10.28</v>
      </c>
      <c r="E1673" s="233">
        <v>0.79</v>
      </c>
      <c r="I1673" s="219">
        <v>10.28</v>
      </c>
    </row>
    <row r="1674" spans="1:9">
      <c r="A1674" s="229" t="s">
        <v>780</v>
      </c>
      <c r="B1674" s="230" t="s">
        <v>781</v>
      </c>
      <c r="C1674" s="231">
        <v>7.6999999999999999E-2</v>
      </c>
      <c r="D1674" s="232">
        <v>13.16</v>
      </c>
      <c r="E1674" s="233">
        <v>1.01</v>
      </c>
      <c r="I1674" s="219">
        <v>13.16</v>
      </c>
    </row>
    <row r="1675" spans="1:9">
      <c r="A1675" s="229"/>
      <c r="B1675" s="230"/>
      <c r="C1675" s="231"/>
      <c r="D1675" s="232" t="s">
        <v>366</v>
      </c>
      <c r="E1675" s="233">
        <v>1.8</v>
      </c>
      <c r="I1675" s="219" t="s">
        <v>366</v>
      </c>
    </row>
    <row r="1676" spans="1:9">
      <c r="A1676" s="229"/>
      <c r="B1676" s="230"/>
      <c r="C1676" s="231"/>
      <c r="D1676" s="232" t="s">
        <v>367</v>
      </c>
      <c r="E1676" s="233">
        <v>5.59</v>
      </c>
      <c r="I1676" s="219" t="s">
        <v>367</v>
      </c>
    </row>
    <row r="1677" spans="1:9">
      <c r="A1677" s="229"/>
      <c r="B1677" s="230"/>
      <c r="C1677" s="231"/>
      <c r="D1677" s="232" t="s">
        <v>1045</v>
      </c>
      <c r="E1677" s="233">
        <v>1.61</v>
      </c>
      <c r="I1677" s="219" t="s">
        <v>1045</v>
      </c>
    </row>
    <row r="1678" spans="1:9">
      <c r="A1678" s="229"/>
      <c r="B1678" s="230"/>
      <c r="C1678" s="231"/>
      <c r="D1678" s="234" t="s">
        <v>196</v>
      </c>
      <c r="E1678" s="235">
        <v>7.2</v>
      </c>
      <c r="I1678" s="219" t="s">
        <v>196</v>
      </c>
    </row>
    <row r="1680" spans="1:9" ht="26.4">
      <c r="A1680" s="214" t="s">
        <v>971</v>
      </c>
      <c r="B1680" s="215" t="s">
        <v>254</v>
      </c>
      <c r="C1680" s="216" t="s">
        <v>32</v>
      </c>
    </row>
    <row r="1681" spans="1:9">
      <c r="A1681" s="220"/>
      <c r="B1681" s="221" t="s">
        <v>347</v>
      </c>
      <c r="C1681" s="222" t="s">
        <v>348</v>
      </c>
      <c r="D1681" s="223" t="s">
        <v>349</v>
      </c>
      <c r="E1681" s="223" t="s">
        <v>350</v>
      </c>
      <c r="I1681" s="219" t="s">
        <v>349</v>
      </c>
    </row>
    <row r="1682" spans="1:9" ht="26.4">
      <c r="A1682" s="224" t="s">
        <v>800</v>
      </c>
      <c r="B1682" s="225" t="s">
        <v>801</v>
      </c>
      <c r="C1682" s="226">
        <v>1.19</v>
      </c>
      <c r="D1682" s="227">
        <v>0.46</v>
      </c>
      <c r="E1682" s="228">
        <v>0.54</v>
      </c>
      <c r="I1682" s="219">
        <v>0.46</v>
      </c>
    </row>
    <row r="1683" spans="1:9" ht="26.4">
      <c r="A1683" s="229" t="s">
        <v>796</v>
      </c>
      <c r="B1683" s="230" t="s">
        <v>797</v>
      </c>
      <c r="C1683" s="231">
        <v>8.9999999999999993E-3</v>
      </c>
      <c r="D1683" s="232">
        <v>1.7</v>
      </c>
      <c r="E1683" s="233">
        <v>0.01</v>
      </c>
      <c r="I1683" s="219">
        <v>1.7</v>
      </c>
    </row>
    <row r="1684" spans="1:9">
      <c r="A1684" s="229"/>
      <c r="B1684" s="230"/>
      <c r="C1684" s="231"/>
      <c r="D1684" s="232" t="s">
        <v>361</v>
      </c>
      <c r="E1684" s="233">
        <v>0.55000000000000004</v>
      </c>
      <c r="I1684" s="219" t="s">
        <v>361</v>
      </c>
    </row>
    <row r="1685" spans="1:9">
      <c r="A1685" s="229" t="s">
        <v>778</v>
      </c>
      <c r="B1685" s="230" t="s">
        <v>779</v>
      </c>
      <c r="C1685" s="231">
        <v>2.4E-2</v>
      </c>
      <c r="D1685" s="232">
        <v>10.28</v>
      </c>
      <c r="E1685" s="233">
        <v>0.24</v>
      </c>
      <c r="I1685" s="219">
        <v>10.28</v>
      </c>
    </row>
    <row r="1686" spans="1:9">
      <c r="A1686" s="229" t="s">
        <v>780</v>
      </c>
      <c r="B1686" s="230" t="s">
        <v>781</v>
      </c>
      <c r="C1686" s="231">
        <v>2.4E-2</v>
      </c>
      <c r="D1686" s="232">
        <v>13.16</v>
      </c>
      <c r="E1686" s="233">
        <v>0.31</v>
      </c>
      <c r="I1686" s="219">
        <v>13.16</v>
      </c>
    </row>
    <row r="1687" spans="1:9">
      <c r="A1687" s="229"/>
      <c r="B1687" s="230"/>
      <c r="C1687" s="231"/>
      <c r="D1687" s="232" t="s">
        <v>366</v>
      </c>
      <c r="E1687" s="233">
        <v>0.55000000000000004</v>
      </c>
      <c r="I1687" s="219" t="s">
        <v>366</v>
      </c>
    </row>
    <row r="1688" spans="1:9">
      <c r="A1688" s="229"/>
      <c r="B1688" s="230"/>
      <c r="C1688" s="231"/>
      <c r="D1688" s="232" t="s">
        <v>367</v>
      </c>
      <c r="E1688" s="233">
        <v>1.1000000000000001</v>
      </c>
      <c r="I1688" s="219" t="s">
        <v>367</v>
      </c>
    </row>
    <row r="1689" spans="1:9">
      <c r="A1689" s="229"/>
      <c r="B1689" s="230"/>
      <c r="C1689" s="231"/>
      <c r="D1689" s="232" t="s">
        <v>1045</v>
      </c>
      <c r="E1689" s="233">
        <v>0.31</v>
      </c>
      <c r="I1689" s="219" t="s">
        <v>1045</v>
      </c>
    </row>
    <row r="1690" spans="1:9">
      <c r="A1690" s="229"/>
      <c r="B1690" s="230"/>
      <c r="C1690" s="231"/>
      <c r="D1690" s="234" t="s">
        <v>196</v>
      </c>
      <c r="E1690" s="235">
        <v>1.4100000000000001</v>
      </c>
      <c r="I1690" s="219" t="s">
        <v>196</v>
      </c>
    </row>
    <row r="1692" spans="1:9" ht="26.4">
      <c r="A1692" s="214" t="s">
        <v>972</v>
      </c>
      <c r="B1692" s="215" t="s">
        <v>255</v>
      </c>
      <c r="C1692" s="216" t="s">
        <v>32</v>
      </c>
    </row>
    <row r="1693" spans="1:9">
      <c r="A1693" s="220"/>
      <c r="B1693" s="221" t="s">
        <v>347</v>
      </c>
      <c r="C1693" s="222" t="s">
        <v>348</v>
      </c>
      <c r="D1693" s="223" t="s">
        <v>349</v>
      </c>
      <c r="E1693" s="223" t="s">
        <v>350</v>
      </c>
      <c r="I1693" s="219" t="s">
        <v>349</v>
      </c>
    </row>
    <row r="1694" spans="1:9" ht="26.4">
      <c r="A1694" s="224" t="s">
        <v>800</v>
      </c>
      <c r="B1694" s="225" t="s">
        <v>801</v>
      </c>
      <c r="C1694" s="226">
        <v>1.19</v>
      </c>
      <c r="D1694" s="227">
        <v>0.46</v>
      </c>
      <c r="E1694" s="228">
        <v>0.54</v>
      </c>
      <c r="I1694" s="219">
        <v>0.46</v>
      </c>
    </row>
    <row r="1695" spans="1:9" ht="26.4">
      <c r="A1695" s="229" t="s">
        <v>796</v>
      </c>
      <c r="B1695" s="230" t="s">
        <v>797</v>
      </c>
      <c r="C1695" s="231">
        <v>8.9999999999999993E-3</v>
      </c>
      <c r="D1695" s="232">
        <v>1.7</v>
      </c>
      <c r="E1695" s="233">
        <v>0.01</v>
      </c>
      <c r="I1695" s="219">
        <v>1.7</v>
      </c>
    </row>
    <row r="1696" spans="1:9">
      <c r="A1696" s="229"/>
      <c r="B1696" s="230"/>
      <c r="C1696" s="231"/>
      <c r="D1696" s="232" t="s">
        <v>361</v>
      </c>
      <c r="E1696" s="233">
        <v>0.55000000000000004</v>
      </c>
      <c r="I1696" s="219" t="s">
        <v>361</v>
      </c>
    </row>
    <row r="1697" spans="1:9">
      <c r="A1697" s="229" t="s">
        <v>778</v>
      </c>
      <c r="B1697" s="230" t="s">
        <v>779</v>
      </c>
      <c r="C1697" s="231">
        <v>2.4E-2</v>
      </c>
      <c r="D1697" s="232">
        <v>10.28</v>
      </c>
      <c r="E1697" s="233">
        <v>0.24</v>
      </c>
      <c r="I1697" s="219">
        <v>10.28</v>
      </c>
    </row>
    <row r="1698" spans="1:9">
      <c r="A1698" s="229" t="s">
        <v>780</v>
      </c>
      <c r="B1698" s="230" t="s">
        <v>781</v>
      </c>
      <c r="C1698" s="231">
        <v>2.4E-2</v>
      </c>
      <c r="D1698" s="232">
        <v>13.16</v>
      </c>
      <c r="E1698" s="233">
        <v>0.31</v>
      </c>
      <c r="I1698" s="219">
        <v>13.16</v>
      </c>
    </row>
    <row r="1699" spans="1:9">
      <c r="A1699" s="229"/>
      <c r="B1699" s="230"/>
      <c r="C1699" s="231"/>
      <c r="D1699" s="232" t="s">
        <v>366</v>
      </c>
      <c r="E1699" s="233">
        <v>0.55000000000000004</v>
      </c>
      <c r="I1699" s="219" t="s">
        <v>366</v>
      </c>
    </row>
    <row r="1700" spans="1:9">
      <c r="A1700" s="229"/>
      <c r="B1700" s="230"/>
      <c r="C1700" s="231"/>
      <c r="D1700" s="232" t="s">
        <v>367</v>
      </c>
      <c r="E1700" s="233">
        <v>1.1000000000000001</v>
      </c>
      <c r="I1700" s="219" t="s">
        <v>367</v>
      </c>
    </row>
    <row r="1701" spans="1:9">
      <c r="A1701" s="229"/>
      <c r="B1701" s="230"/>
      <c r="C1701" s="231"/>
      <c r="D1701" s="232" t="s">
        <v>1045</v>
      </c>
      <c r="E1701" s="233">
        <v>0.31</v>
      </c>
      <c r="I1701" s="219" t="s">
        <v>1045</v>
      </c>
    </row>
    <row r="1702" spans="1:9">
      <c r="A1702" s="229"/>
      <c r="B1702" s="230"/>
      <c r="C1702" s="231"/>
      <c r="D1702" s="234" t="s">
        <v>196</v>
      </c>
      <c r="E1702" s="235">
        <v>1.4100000000000001</v>
      </c>
      <c r="I1702" s="219" t="s">
        <v>196</v>
      </c>
    </row>
    <row r="1704" spans="1:9" ht="26.4">
      <c r="A1704" s="214" t="s">
        <v>973</v>
      </c>
      <c r="B1704" s="215" t="s">
        <v>256</v>
      </c>
      <c r="C1704" s="216" t="s">
        <v>32</v>
      </c>
    </row>
    <row r="1705" spans="1:9">
      <c r="A1705" s="220"/>
      <c r="B1705" s="221" t="s">
        <v>347</v>
      </c>
      <c r="C1705" s="222" t="s">
        <v>348</v>
      </c>
      <c r="D1705" s="223" t="s">
        <v>349</v>
      </c>
      <c r="E1705" s="223" t="s">
        <v>350</v>
      </c>
      <c r="I1705" s="219" t="s">
        <v>349</v>
      </c>
    </row>
    <row r="1706" spans="1:9" ht="26.4">
      <c r="A1706" s="224" t="s">
        <v>802</v>
      </c>
      <c r="B1706" s="225" t="s">
        <v>803</v>
      </c>
      <c r="C1706" s="226">
        <v>1.19</v>
      </c>
      <c r="D1706" s="227">
        <v>1.87</v>
      </c>
      <c r="E1706" s="228">
        <v>2.2200000000000002</v>
      </c>
      <c r="I1706" s="219">
        <v>1.87</v>
      </c>
    </row>
    <row r="1707" spans="1:9" ht="26.4">
      <c r="A1707" s="229" t="s">
        <v>796</v>
      </c>
      <c r="B1707" s="230" t="s">
        <v>797</v>
      </c>
      <c r="C1707" s="231">
        <v>8.9999999999999993E-3</v>
      </c>
      <c r="D1707" s="232">
        <v>1.7</v>
      </c>
      <c r="E1707" s="233">
        <v>0.01</v>
      </c>
      <c r="I1707" s="219">
        <v>1.7</v>
      </c>
    </row>
    <row r="1708" spans="1:9">
      <c r="A1708" s="229"/>
      <c r="B1708" s="230"/>
      <c r="C1708" s="231"/>
      <c r="D1708" s="232" t="s">
        <v>361</v>
      </c>
      <c r="E1708" s="233">
        <v>2.23</v>
      </c>
      <c r="I1708" s="219" t="s">
        <v>361</v>
      </c>
    </row>
    <row r="1709" spans="1:9">
      <c r="A1709" s="229" t="s">
        <v>778</v>
      </c>
      <c r="B1709" s="230" t="s">
        <v>779</v>
      </c>
      <c r="C1709" s="231">
        <v>5.1999999999999998E-2</v>
      </c>
      <c r="D1709" s="232">
        <v>10.28</v>
      </c>
      <c r="E1709" s="233">
        <v>0.53</v>
      </c>
      <c r="I1709" s="219">
        <v>10.28</v>
      </c>
    </row>
    <row r="1710" spans="1:9">
      <c r="A1710" s="229" t="s">
        <v>780</v>
      </c>
      <c r="B1710" s="230" t="s">
        <v>781</v>
      </c>
      <c r="C1710" s="231">
        <v>5.1999999999999998E-2</v>
      </c>
      <c r="D1710" s="232">
        <v>13.16</v>
      </c>
      <c r="E1710" s="233">
        <v>0.68</v>
      </c>
      <c r="I1710" s="219">
        <v>13.16</v>
      </c>
    </row>
    <row r="1711" spans="1:9">
      <c r="A1711" s="229"/>
      <c r="B1711" s="230"/>
      <c r="C1711" s="231"/>
      <c r="D1711" s="232" t="s">
        <v>366</v>
      </c>
      <c r="E1711" s="233">
        <v>1.21</v>
      </c>
      <c r="I1711" s="219" t="s">
        <v>366</v>
      </c>
    </row>
    <row r="1712" spans="1:9">
      <c r="A1712" s="229"/>
      <c r="B1712" s="230"/>
      <c r="C1712" s="231"/>
      <c r="D1712" s="232" t="s">
        <v>367</v>
      </c>
      <c r="E1712" s="233">
        <v>3.44</v>
      </c>
      <c r="I1712" s="219" t="s">
        <v>367</v>
      </c>
    </row>
    <row r="1713" spans="1:9">
      <c r="A1713" s="229"/>
      <c r="B1713" s="230"/>
      <c r="C1713" s="231"/>
      <c r="D1713" s="232" t="s">
        <v>1045</v>
      </c>
      <c r="E1713" s="233">
        <v>0.99</v>
      </c>
      <c r="I1713" s="219" t="s">
        <v>1045</v>
      </c>
    </row>
    <row r="1714" spans="1:9">
      <c r="A1714" s="229"/>
      <c r="B1714" s="230"/>
      <c r="C1714" s="231"/>
      <c r="D1714" s="234" t="s">
        <v>196</v>
      </c>
      <c r="E1714" s="235">
        <v>4.43</v>
      </c>
      <c r="I1714" s="219" t="s">
        <v>196</v>
      </c>
    </row>
    <row r="1716" spans="1:9" ht="26.4">
      <c r="A1716" s="214" t="s">
        <v>974</v>
      </c>
      <c r="B1716" s="215" t="s">
        <v>257</v>
      </c>
      <c r="C1716" s="216" t="s">
        <v>32</v>
      </c>
    </row>
    <row r="1717" spans="1:9">
      <c r="A1717" s="220"/>
      <c r="B1717" s="221" t="s">
        <v>347</v>
      </c>
      <c r="C1717" s="222" t="s">
        <v>348</v>
      </c>
      <c r="D1717" s="223" t="s">
        <v>349</v>
      </c>
      <c r="E1717" s="223" t="s">
        <v>350</v>
      </c>
      <c r="I1717" s="219" t="s">
        <v>349</v>
      </c>
    </row>
    <row r="1718" spans="1:9" ht="26.4">
      <c r="A1718" s="224" t="s">
        <v>802</v>
      </c>
      <c r="B1718" s="225" t="s">
        <v>803</v>
      </c>
      <c r="C1718" s="226">
        <v>1.19</v>
      </c>
      <c r="D1718" s="227">
        <v>1.87</v>
      </c>
      <c r="E1718" s="228">
        <v>2.2200000000000002</v>
      </c>
      <c r="I1718" s="219">
        <v>1.87</v>
      </c>
    </row>
    <row r="1719" spans="1:9" ht="26.4">
      <c r="A1719" s="229" t="s">
        <v>796</v>
      </c>
      <c r="B1719" s="230" t="s">
        <v>797</v>
      </c>
      <c r="C1719" s="231">
        <v>8.9999999999999993E-3</v>
      </c>
      <c r="D1719" s="232">
        <v>1.7</v>
      </c>
      <c r="E1719" s="233">
        <v>0.01</v>
      </c>
      <c r="I1719" s="219">
        <v>1.7</v>
      </c>
    </row>
    <row r="1720" spans="1:9">
      <c r="A1720" s="229"/>
      <c r="B1720" s="230"/>
      <c r="C1720" s="231"/>
      <c r="D1720" s="232" t="s">
        <v>361</v>
      </c>
      <c r="E1720" s="233">
        <v>2.23</v>
      </c>
      <c r="I1720" s="219" t="s">
        <v>361</v>
      </c>
    </row>
    <row r="1721" spans="1:9">
      <c r="A1721" s="229" t="s">
        <v>778</v>
      </c>
      <c r="B1721" s="230" t="s">
        <v>779</v>
      </c>
      <c r="C1721" s="231">
        <v>5.1999999999999998E-2</v>
      </c>
      <c r="D1721" s="232">
        <v>10.28</v>
      </c>
      <c r="E1721" s="233">
        <v>0.53</v>
      </c>
      <c r="I1721" s="219">
        <v>10.28</v>
      </c>
    </row>
    <row r="1722" spans="1:9">
      <c r="A1722" s="229" t="s">
        <v>780</v>
      </c>
      <c r="B1722" s="230" t="s">
        <v>781</v>
      </c>
      <c r="C1722" s="231">
        <v>5.1999999999999998E-2</v>
      </c>
      <c r="D1722" s="232">
        <v>13.16</v>
      </c>
      <c r="E1722" s="233">
        <v>0.68</v>
      </c>
      <c r="I1722" s="219">
        <v>13.16</v>
      </c>
    </row>
    <row r="1723" spans="1:9">
      <c r="A1723" s="229"/>
      <c r="B1723" s="230"/>
      <c r="C1723" s="231"/>
      <c r="D1723" s="232" t="s">
        <v>366</v>
      </c>
      <c r="E1723" s="233">
        <v>1.21</v>
      </c>
      <c r="I1723" s="219" t="s">
        <v>366</v>
      </c>
    </row>
    <row r="1724" spans="1:9">
      <c r="A1724" s="229"/>
      <c r="B1724" s="230"/>
      <c r="C1724" s="231"/>
      <c r="D1724" s="232" t="s">
        <v>367</v>
      </c>
      <c r="E1724" s="233">
        <v>3.44</v>
      </c>
      <c r="I1724" s="219" t="s">
        <v>367</v>
      </c>
    </row>
    <row r="1725" spans="1:9">
      <c r="A1725" s="229"/>
      <c r="B1725" s="230"/>
      <c r="C1725" s="231"/>
      <c r="D1725" s="232" t="s">
        <v>1045</v>
      </c>
      <c r="E1725" s="233">
        <v>0.99</v>
      </c>
      <c r="I1725" s="219" t="s">
        <v>1045</v>
      </c>
    </row>
    <row r="1726" spans="1:9">
      <c r="A1726" s="229"/>
      <c r="B1726" s="230"/>
      <c r="C1726" s="231"/>
      <c r="D1726" s="234" t="s">
        <v>196</v>
      </c>
      <c r="E1726" s="235">
        <v>4.43</v>
      </c>
      <c r="I1726" s="219" t="s">
        <v>196</v>
      </c>
    </row>
    <row r="1728" spans="1:9" ht="26.4">
      <c r="A1728" s="214" t="s">
        <v>975</v>
      </c>
      <c r="B1728" s="215" t="s">
        <v>187</v>
      </c>
      <c r="C1728" s="216" t="s">
        <v>23</v>
      </c>
    </row>
    <row r="1729" spans="1:9">
      <c r="A1729" s="220"/>
      <c r="B1729" s="221" t="s">
        <v>347</v>
      </c>
      <c r="C1729" s="222" t="s">
        <v>348</v>
      </c>
      <c r="D1729" s="223" t="s">
        <v>349</v>
      </c>
      <c r="E1729" s="223" t="s">
        <v>350</v>
      </c>
      <c r="I1729" s="219" t="s">
        <v>349</v>
      </c>
    </row>
    <row r="1730" spans="1:9" ht="26.4">
      <c r="A1730" s="224" t="s">
        <v>788</v>
      </c>
      <c r="B1730" s="225" t="s">
        <v>804</v>
      </c>
      <c r="C1730" s="226">
        <v>1</v>
      </c>
      <c r="D1730" s="227">
        <v>4.18</v>
      </c>
      <c r="E1730" s="228">
        <v>4.18</v>
      </c>
      <c r="I1730" s="219">
        <v>4.18</v>
      </c>
    </row>
    <row r="1731" spans="1:9" ht="26.4">
      <c r="A1731" s="229" t="s">
        <v>805</v>
      </c>
      <c r="B1731" s="230" t="s">
        <v>806</v>
      </c>
      <c r="C1731" s="231">
        <v>1</v>
      </c>
      <c r="D1731" s="232">
        <v>10.02</v>
      </c>
      <c r="E1731" s="233">
        <v>10.02</v>
      </c>
      <c r="I1731" s="219">
        <v>10.02</v>
      </c>
    </row>
    <row r="1732" spans="1:9">
      <c r="A1732" s="229"/>
      <c r="B1732" s="230"/>
      <c r="C1732" s="231"/>
      <c r="D1732" s="232" t="s">
        <v>361</v>
      </c>
      <c r="E1732" s="233">
        <v>14.2</v>
      </c>
      <c r="I1732" s="219" t="s">
        <v>361</v>
      </c>
    </row>
    <row r="1733" spans="1:9">
      <c r="A1733" s="229"/>
      <c r="B1733" s="230"/>
      <c r="C1733" s="231"/>
      <c r="D1733" s="232" t="s">
        <v>367</v>
      </c>
      <c r="E1733" s="233">
        <v>14.2</v>
      </c>
      <c r="I1733" s="219" t="s">
        <v>367</v>
      </c>
    </row>
    <row r="1734" spans="1:9">
      <c r="A1734" s="229"/>
      <c r="B1734" s="230"/>
      <c r="C1734" s="231"/>
      <c r="D1734" s="232" t="s">
        <v>1045</v>
      </c>
      <c r="E1734" s="233">
        <v>4.09</v>
      </c>
      <c r="I1734" s="219" t="s">
        <v>1045</v>
      </c>
    </row>
    <row r="1735" spans="1:9">
      <c r="A1735" s="229"/>
      <c r="B1735" s="230"/>
      <c r="C1735" s="231"/>
      <c r="D1735" s="234" t="s">
        <v>196</v>
      </c>
      <c r="E1735" s="235">
        <v>18.29</v>
      </c>
      <c r="I1735" s="219" t="s">
        <v>196</v>
      </c>
    </row>
    <row r="1737" spans="1:9" ht="26.4">
      <c r="A1737" s="214" t="s">
        <v>976</v>
      </c>
      <c r="B1737" s="215" t="s">
        <v>188</v>
      </c>
      <c r="C1737" s="216" t="s">
        <v>23</v>
      </c>
    </row>
    <row r="1738" spans="1:9">
      <c r="A1738" s="220"/>
      <c r="B1738" s="221" t="s">
        <v>347</v>
      </c>
      <c r="C1738" s="222" t="s">
        <v>348</v>
      </c>
      <c r="D1738" s="223" t="s">
        <v>349</v>
      </c>
      <c r="E1738" s="223" t="s">
        <v>350</v>
      </c>
      <c r="I1738" s="219" t="s">
        <v>349</v>
      </c>
    </row>
    <row r="1739" spans="1:9" ht="26.4">
      <c r="A1739" s="224" t="s">
        <v>788</v>
      </c>
      <c r="B1739" s="225" t="s">
        <v>804</v>
      </c>
      <c r="C1739" s="226">
        <v>1</v>
      </c>
      <c r="D1739" s="227">
        <v>4.18</v>
      </c>
      <c r="E1739" s="228">
        <v>4.18</v>
      </c>
      <c r="I1739" s="219">
        <v>4.18</v>
      </c>
    </row>
    <row r="1740" spans="1:9" ht="26.4">
      <c r="A1740" s="229" t="s">
        <v>807</v>
      </c>
      <c r="B1740" s="230" t="s">
        <v>808</v>
      </c>
      <c r="C1740" s="231">
        <v>1</v>
      </c>
      <c r="D1740" s="232">
        <v>9.23</v>
      </c>
      <c r="E1740" s="233">
        <v>9.23</v>
      </c>
      <c r="I1740" s="219">
        <v>9.23</v>
      </c>
    </row>
    <row r="1741" spans="1:9">
      <c r="A1741" s="229"/>
      <c r="B1741" s="230"/>
      <c r="C1741" s="231"/>
      <c r="D1741" s="232" t="s">
        <v>361</v>
      </c>
      <c r="E1741" s="233">
        <v>13.41</v>
      </c>
      <c r="I1741" s="219" t="s">
        <v>361</v>
      </c>
    </row>
    <row r="1742" spans="1:9">
      <c r="A1742" s="229"/>
      <c r="B1742" s="230"/>
      <c r="C1742" s="231"/>
      <c r="D1742" s="232" t="s">
        <v>367</v>
      </c>
      <c r="E1742" s="233">
        <v>13.41</v>
      </c>
      <c r="I1742" s="219" t="s">
        <v>367</v>
      </c>
    </row>
    <row r="1743" spans="1:9">
      <c r="A1743" s="229"/>
      <c r="B1743" s="230"/>
      <c r="C1743" s="231"/>
      <c r="D1743" s="232" t="s">
        <v>1045</v>
      </c>
      <c r="E1743" s="233">
        <v>3.86</v>
      </c>
      <c r="I1743" s="219" t="s">
        <v>1045</v>
      </c>
    </row>
    <row r="1744" spans="1:9">
      <c r="A1744" s="229"/>
      <c r="B1744" s="230"/>
      <c r="C1744" s="231"/>
      <c r="D1744" s="234" t="s">
        <v>196</v>
      </c>
      <c r="E1744" s="235">
        <v>17.27</v>
      </c>
      <c r="I1744" s="219" t="s">
        <v>196</v>
      </c>
    </row>
    <row r="1746" spans="1:9" ht="26.4">
      <c r="A1746" s="214" t="s">
        <v>977</v>
      </c>
      <c r="B1746" s="215" t="s">
        <v>325</v>
      </c>
      <c r="C1746" s="216" t="s">
        <v>23</v>
      </c>
    </row>
    <row r="1747" spans="1:9">
      <c r="A1747" s="220"/>
      <c r="B1747" s="221" t="s">
        <v>347</v>
      </c>
      <c r="C1747" s="222" t="s">
        <v>348</v>
      </c>
      <c r="D1747" s="223" t="s">
        <v>349</v>
      </c>
      <c r="E1747" s="223" t="s">
        <v>350</v>
      </c>
      <c r="I1747" s="219" t="s">
        <v>349</v>
      </c>
    </row>
    <row r="1748" spans="1:9" ht="39.6">
      <c r="A1748" s="224" t="s">
        <v>809</v>
      </c>
      <c r="B1748" s="225" t="s">
        <v>810</v>
      </c>
      <c r="C1748" s="226">
        <v>1</v>
      </c>
      <c r="D1748" s="227">
        <v>47.38</v>
      </c>
      <c r="E1748" s="228">
        <v>47.38</v>
      </c>
      <c r="I1748" s="219">
        <v>47.38</v>
      </c>
    </row>
    <row r="1749" spans="1:9">
      <c r="A1749" s="229"/>
      <c r="B1749" s="230"/>
      <c r="C1749" s="231"/>
      <c r="D1749" s="232" t="s">
        <v>361</v>
      </c>
      <c r="E1749" s="233">
        <v>47.38</v>
      </c>
      <c r="I1749" s="219" t="s">
        <v>361</v>
      </c>
    </row>
    <row r="1750" spans="1:9">
      <c r="A1750" s="229" t="s">
        <v>778</v>
      </c>
      <c r="B1750" s="230" t="s">
        <v>779</v>
      </c>
      <c r="C1750" s="231">
        <v>0.1963</v>
      </c>
      <c r="D1750" s="232">
        <v>10.28</v>
      </c>
      <c r="E1750" s="233">
        <v>2.0099999999999998</v>
      </c>
      <c r="I1750" s="219">
        <v>10.28</v>
      </c>
    </row>
    <row r="1751" spans="1:9">
      <c r="A1751" s="229" t="s">
        <v>780</v>
      </c>
      <c r="B1751" s="230" t="s">
        <v>781</v>
      </c>
      <c r="C1751" s="231">
        <v>0.47099999999999997</v>
      </c>
      <c r="D1751" s="232">
        <v>13.16</v>
      </c>
      <c r="E1751" s="233">
        <v>6.19</v>
      </c>
      <c r="I1751" s="219">
        <v>13.16</v>
      </c>
    </row>
    <row r="1752" spans="1:9">
      <c r="A1752" s="229"/>
      <c r="B1752" s="230"/>
      <c r="C1752" s="231"/>
      <c r="D1752" s="232" t="s">
        <v>366</v>
      </c>
      <c r="E1752" s="233">
        <v>8.1999999999999993</v>
      </c>
      <c r="I1752" s="219" t="s">
        <v>366</v>
      </c>
    </row>
    <row r="1753" spans="1:9">
      <c r="A1753" s="229"/>
      <c r="B1753" s="230"/>
      <c r="C1753" s="231"/>
      <c r="D1753" s="232" t="s">
        <v>367</v>
      </c>
      <c r="E1753" s="233">
        <v>55.58</v>
      </c>
      <c r="I1753" s="219" t="s">
        <v>367</v>
      </c>
    </row>
    <row r="1754" spans="1:9">
      <c r="A1754" s="229"/>
      <c r="B1754" s="230"/>
      <c r="C1754" s="231"/>
      <c r="D1754" s="232" t="s">
        <v>1045</v>
      </c>
      <c r="E1754" s="233">
        <v>16.010000000000002</v>
      </c>
      <c r="I1754" s="219" t="s">
        <v>1045</v>
      </c>
    </row>
    <row r="1755" spans="1:9">
      <c r="A1755" s="229"/>
      <c r="B1755" s="230"/>
      <c r="C1755" s="231"/>
      <c r="D1755" s="234" t="s">
        <v>196</v>
      </c>
      <c r="E1755" s="235">
        <v>71.59</v>
      </c>
      <c r="I1755" s="219" t="s">
        <v>196</v>
      </c>
    </row>
    <row r="1757" spans="1:9" ht="26.4">
      <c r="A1757" s="253" t="s">
        <v>978</v>
      </c>
      <c r="B1757" s="215" t="s">
        <v>259</v>
      </c>
      <c r="C1757" s="216" t="s">
        <v>23</v>
      </c>
    </row>
    <row r="1758" spans="1:9">
      <c r="A1758" s="236"/>
      <c r="B1758" s="237" t="s">
        <v>347</v>
      </c>
      <c r="C1758" s="238" t="s">
        <v>348</v>
      </c>
      <c r="D1758" s="239" t="s">
        <v>349</v>
      </c>
      <c r="E1758" s="239" t="s">
        <v>350</v>
      </c>
      <c r="I1758" s="219" t="s">
        <v>349</v>
      </c>
    </row>
    <row r="1759" spans="1:9" ht="26.4">
      <c r="A1759" s="256" t="s">
        <v>811</v>
      </c>
      <c r="B1759" s="254" t="s">
        <v>834</v>
      </c>
      <c r="C1759" s="226">
        <v>1</v>
      </c>
      <c r="D1759" s="227">
        <v>2.76</v>
      </c>
      <c r="E1759" s="228">
        <v>2.76</v>
      </c>
      <c r="I1759" s="219">
        <v>2.76</v>
      </c>
    </row>
    <row r="1760" spans="1:9">
      <c r="A1760" s="229"/>
      <c r="B1760" s="230"/>
      <c r="C1760" s="231"/>
      <c r="D1760" s="232" t="s">
        <v>361</v>
      </c>
      <c r="E1760" s="233">
        <v>2.76</v>
      </c>
      <c r="I1760" s="219" t="s">
        <v>361</v>
      </c>
    </row>
    <row r="1761" spans="1:9">
      <c r="A1761" s="229"/>
      <c r="B1761" s="230"/>
      <c r="C1761" s="231"/>
      <c r="D1761" s="232" t="s">
        <v>367</v>
      </c>
      <c r="E1761" s="233">
        <v>2.76</v>
      </c>
      <c r="I1761" s="219" t="s">
        <v>367</v>
      </c>
    </row>
    <row r="1762" spans="1:9">
      <c r="A1762" s="229"/>
      <c r="B1762" s="230"/>
      <c r="C1762" s="231"/>
      <c r="D1762" s="232" t="s">
        <v>1045</v>
      </c>
      <c r="E1762" s="233">
        <v>0.79</v>
      </c>
      <c r="I1762" s="219" t="s">
        <v>1045</v>
      </c>
    </row>
    <row r="1763" spans="1:9">
      <c r="A1763" s="229"/>
      <c r="B1763" s="230"/>
      <c r="C1763" s="231"/>
      <c r="D1763" s="234" t="s">
        <v>196</v>
      </c>
      <c r="E1763" s="235">
        <v>3.55</v>
      </c>
      <c r="I1763" s="219" t="s">
        <v>196</v>
      </c>
    </row>
    <row r="1765" spans="1:9" ht="26.4">
      <c r="A1765" s="214" t="s">
        <v>979</v>
      </c>
      <c r="B1765" s="215" t="s">
        <v>201</v>
      </c>
      <c r="C1765" s="216" t="s">
        <v>28</v>
      </c>
    </row>
    <row r="1766" spans="1:9">
      <c r="A1766" s="220"/>
      <c r="B1766" s="221" t="s">
        <v>347</v>
      </c>
      <c r="C1766" s="222" t="s">
        <v>348</v>
      </c>
      <c r="D1766" s="223" t="s">
        <v>349</v>
      </c>
      <c r="E1766" s="223" t="s">
        <v>350</v>
      </c>
      <c r="I1766" s="219" t="s">
        <v>349</v>
      </c>
    </row>
    <row r="1767" spans="1:9">
      <c r="A1767" s="224" t="s">
        <v>364</v>
      </c>
      <c r="B1767" s="225" t="s">
        <v>365</v>
      </c>
      <c r="C1767" s="226">
        <v>9.7000000000000003E-2</v>
      </c>
      <c r="D1767" s="227">
        <v>10.1</v>
      </c>
      <c r="E1767" s="228">
        <v>0.97</v>
      </c>
      <c r="I1767" s="219">
        <v>10.1</v>
      </c>
    </row>
    <row r="1768" spans="1:9">
      <c r="A1768" s="229"/>
      <c r="B1768" s="230"/>
      <c r="C1768" s="231"/>
      <c r="D1768" s="232" t="s">
        <v>366</v>
      </c>
      <c r="E1768" s="233">
        <v>0.97</v>
      </c>
      <c r="I1768" s="219" t="s">
        <v>366</v>
      </c>
    </row>
    <row r="1769" spans="1:9">
      <c r="A1769" s="229"/>
      <c r="B1769" s="230"/>
      <c r="C1769" s="231"/>
      <c r="D1769" s="232" t="s">
        <v>367</v>
      </c>
      <c r="E1769" s="233">
        <v>0.97</v>
      </c>
      <c r="I1769" s="219" t="s">
        <v>367</v>
      </c>
    </row>
    <row r="1770" spans="1:9">
      <c r="A1770" s="229"/>
      <c r="B1770" s="230"/>
      <c r="C1770" s="231"/>
      <c r="D1770" s="232" t="s">
        <v>1045</v>
      </c>
      <c r="E1770" s="233">
        <v>0.27</v>
      </c>
      <c r="I1770" s="219" t="s">
        <v>1045</v>
      </c>
    </row>
    <row r="1771" spans="1:9">
      <c r="A1771" s="229"/>
      <c r="B1771" s="230"/>
      <c r="C1771" s="231"/>
      <c r="D1771" s="234" t="s">
        <v>196</v>
      </c>
      <c r="E1771" s="235">
        <v>1.24</v>
      </c>
      <c r="I1771" s="219" t="s">
        <v>196</v>
      </c>
    </row>
  </sheetData>
  <pageMargins left="0.59055118110236227" right="0.19685039370078741" top="0.39370078740157483" bottom="0.98425196850393704" header="0.31496062992125984" footer="0.31496062992125984"/>
  <pageSetup paperSize="9" scale="85" orientation="portrait" r:id="rId1"/>
  <headerFooter>
    <oddFooter>&amp;CAV. MARECHAL DEODORO, 1806
CNPJ: 15.450.813/0001-50
CAMPO GRANDE – MS</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9"/>
  <sheetViews>
    <sheetView showGridLines="0" view="pageBreakPreview" topLeftCell="I19" zoomScaleNormal="100" zoomScaleSheetLayoutView="100" workbookViewId="0">
      <selection activeCell="J43" sqref="J43:L43"/>
    </sheetView>
  </sheetViews>
  <sheetFormatPr defaultColWidth="0" defaultRowHeight="12.75" customHeight="1" zeroHeight="1"/>
  <cols>
    <col min="1" max="1" width="26.5" style="280" hidden="1" customWidth="1"/>
    <col min="2" max="3" width="8" style="280" hidden="1" customWidth="1"/>
    <col min="4" max="4" width="20.59765625" style="280" hidden="1" customWidth="1"/>
    <col min="5" max="8" width="8" style="280" hidden="1" customWidth="1"/>
    <col min="9" max="18" width="9.3984375" style="280" customWidth="1"/>
    <col min="19" max="19" width="3.8984375" style="280" customWidth="1"/>
    <col min="20" max="21" width="8" style="280" customWidth="1"/>
    <col min="22" max="256" width="0" style="280" hidden="1"/>
    <col min="257" max="264" width="0" style="280" hidden="1" customWidth="1"/>
    <col min="265" max="274" width="9.3984375" style="280" customWidth="1"/>
    <col min="275" max="275" width="3.8984375" style="280" customWidth="1"/>
    <col min="276" max="277" width="8" style="280" customWidth="1"/>
    <col min="278" max="512" width="0" style="280" hidden="1"/>
    <col min="513" max="520" width="0" style="280" hidden="1" customWidth="1"/>
    <col min="521" max="530" width="9.3984375" style="280" customWidth="1"/>
    <col min="531" max="531" width="3.8984375" style="280" customWidth="1"/>
    <col min="532" max="533" width="8" style="280" customWidth="1"/>
    <col min="534" max="768" width="0" style="280" hidden="1"/>
    <col min="769" max="776" width="0" style="280" hidden="1" customWidth="1"/>
    <col min="777" max="786" width="9.3984375" style="280" customWidth="1"/>
    <col min="787" max="787" width="3.8984375" style="280" customWidth="1"/>
    <col min="788" max="789" width="8" style="280" customWidth="1"/>
    <col min="790" max="1024" width="0" style="280" hidden="1"/>
    <col min="1025" max="1032" width="0" style="280" hidden="1" customWidth="1"/>
    <col min="1033" max="1042" width="9.3984375" style="280" customWidth="1"/>
    <col min="1043" max="1043" width="3.8984375" style="280" customWidth="1"/>
    <col min="1044" max="1045" width="8" style="280" customWidth="1"/>
    <col min="1046" max="1280" width="0" style="280" hidden="1"/>
    <col min="1281" max="1288" width="0" style="280" hidden="1" customWidth="1"/>
    <col min="1289" max="1298" width="9.3984375" style="280" customWidth="1"/>
    <col min="1299" max="1299" width="3.8984375" style="280" customWidth="1"/>
    <col min="1300" max="1301" width="8" style="280" customWidth="1"/>
    <col min="1302" max="1536" width="0" style="280" hidden="1"/>
    <col min="1537" max="1544" width="0" style="280" hidden="1" customWidth="1"/>
    <col min="1545" max="1554" width="9.3984375" style="280" customWidth="1"/>
    <col min="1555" max="1555" width="3.8984375" style="280" customWidth="1"/>
    <col min="1556" max="1557" width="8" style="280" customWidth="1"/>
    <col min="1558" max="1792" width="0" style="280" hidden="1"/>
    <col min="1793" max="1800" width="0" style="280" hidden="1" customWidth="1"/>
    <col min="1801" max="1810" width="9.3984375" style="280" customWidth="1"/>
    <col min="1811" max="1811" width="3.8984375" style="280" customWidth="1"/>
    <col min="1812" max="1813" width="8" style="280" customWidth="1"/>
    <col min="1814" max="2048" width="0" style="280" hidden="1"/>
    <col min="2049" max="2056" width="0" style="280" hidden="1" customWidth="1"/>
    <col min="2057" max="2066" width="9.3984375" style="280" customWidth="1"/>
    <col min="2067" max="2067" width="3.8984375" style="280" customWidth="1"/>
    <col min="2068" max="2069" width="8" style="280" customWidth="1"/>
    <col min="2070" max="2304" width="0" style="280" hidden="1"/>
    <col min="2305" max="2312" width="0" style="280" hidden="1" customWidth="1"/>
    <col min="2313" max="2322" width="9.3984375" style="280" customWidth="1"/>
    <col min="2323" max="2323" width="3.8984375" style="280" customWidth="1"/>
    <col min="2324" max="2325" width="8" style="280" customWidth="1"/>
    <col min="2326" max="2560" width="0" style="280" hidden="1"/>
    <col min="2561" max="2568" width="0" style="280" hidden="1" customWidth="1"/>
    <col min="2569" max="2578" width="9.3984375" style="280" customWidth="1"/>
    <col min="2579" max="2579" width="3.8984375" style="280" customWidth="1"/>
    <col min="2580" max="2581" width="8" style="280" customWidth="1"/>
    <col min="2582" max="2816" width="0" style="280" hidden="1"/>
    <col min="2817" max="2824" width="0" style="280" hidden="1" customWidth="1"/>
    <col min="2825" max="2834" width="9.3984375" style="280" customWidth="1"/>
    <col min="2835" max="2835" width="3.8984375" style="280" customWidth="1"/>
    <col min="2836" max="2837" width="8" style="280" customWidth="1"/>
    <col min="2838" max="3072" width="0" style="280" hidden="1"/>
    <col min="3073" max="3080" width="0" style="280" hidden="1" customWidth="1"/>
    <col min="3081" max="3090" width="9.3984375" style="280" customWidth="1"/>
    <col min="3091" max="3091" width="3.8984375" style="280" customWidth="1"/>
    <col min="3092" max="3093" width="8" style="280" customWidth="1"/>
    <col min="3094" max="3328" width="0" style="280" hidden="1"/>
    <col min="3329" max="3336" width="0" style="280" hidden="1" customWidth="1"/>
    <col min="3337" max="3346" width="9.3984375" style="280" customWidth="1"/>
    <col min="3347" max="3347" width="3.8984375" style="280" customWidth="1"/>
    <col min="3348" max="3349" width="8" style="280" customWidth="1"/>
    <col min="3350" max="3584" width="0" style="280" hidden="1"/>
    <col min="3585" max="3592" width="0" style="280" hidden="1" customWidth="1"/>
    <col min="3593" max="3602" width="9.3984375" style="280" customWidth="1"/>
    <col min="3603" max="3603" width="3.8984375" style="280" customWidth="1"/>
    <col min="3604" max="3605" width="8" style="280" customWidth="1"/>
    <col min="3606" max="3840" width="0" style="280" hidden="1"/>
    <col min="3841" max="3848" width="0" style="280" hidden="1" customWidth="1"/>
    <col min="3849" max="3858" width="9.3984375" style="280" customWidth="1"/>
    <col min="3859" max="3859" width="3.8984375" style="280" customWidth="1"/>
    <col min="3860" max="3861" width="8" style="280" customWidth="1"/>
    <col min="3862" max="4096" width="0" style="280" hidden="1"/>
    <col min="4097" max="4104" width="0" style="280" hidden="1" customWidth="1"/>
    <col min="4105" max="4114" width="9.3984375" style="280" customWidth="1"/>
    <col min="4115" max="4115" width="3.8984375" style="280" customWidth="1"/>
    <col min="4116" max="4117" width="8" style="280" customWidth="1"/>
    <col min="4118" max="4352" width="0" style="280" hidden="1"/>
    <col min="4353" max="4360" width="0" style="280" hidden="1" customWidth="1"/>
    <col min="4361" max="4370" width="9.3984375" style="280" customWidth="1"/>
    <col min="4371" max="4371" width="3.8984375" style="280" customWidth="1"/>
    <col min="4372" max="4373" width="8" style="280" customWidth="1"/>
    <col min="4374" max="4608" width="0" style="280" hidden="1"/>
    <col min="4609" max="4616" width="0" style="280" hidden="1" customWidth="1"/>
    <col min="4617" max="4626" width="9.3984375" style="280" customWidth="1"/>
    <col min="4627" max="4627" width="3.8984375" style="280" customWidth="1"/>
    <col min="4628" max="4629" width="8" style="280" customWidth="1"/>
    <col min="4630" max="4864" width="0" style="280" hidden="1"/>
    <col min="4865" max="4872" width="0" style="280" hidden="1" customWidth="1"/>
    <col min="4873" max="4882" width="9.3984375" style="280" customWidth="1"/>
    <col min="4883" max="4883" width="3.8984375" style="280" customWidth="1"/>
    <col min="4884" max="4885" width="8" style="280" customWidth="1"/>
    <col min="4886" max="5120" width="0" style="280" hidden="1"/>
    <col min="5121" max="5128" width="0" style="280" hidden="1" customWidth="1"/>
    <col min="5129" max="5138" width="9.3984375" style="280" customWidth="1"/>
    <col min="5139" max="5139" width="3.8984375" style="280" customWidth="1"/>
    <col min="5140" max="5141" width="8" style="280" customWidth="1"/>
    <col min="5142" max="5376" width="0" style="280" hidden="1"/>
    <col min="5377" max="5384" width="0" style="280" hidden="1" customWidth="1"/>
    <col min="5385" max="5394" width="9.3984375" style="280" customWidth="1"/>
    <col min="5395" max="5395" width="3.8984375" style="280" customWidth="1"/>
    <col min="5396" max="5397" width="8" style="280" customWidth="1"/>
    <col min="5398" max="5632" width="0" style="280" hidden="1"/>
    <col min="5633" max="5640" width="0" style="280" hidden="1" customWidth="1"/>
    <col min="5641" max="5650" width="9.3984375" style="280" customWidth="1"/>
    <col min="5651" max="5651" width="3.8984375" style="280" customWidth="1"/>
    <col min="5652" max="5653" width="8" style="280" customWidth="1"/>
    <col min="5654" max="5888" width="0" style="280" hidden="1"/>
    <col min="5889" max="5896" width="0" style="280" hidden="1" customWidth="1"/>
    <col min="5897" max="5906" width="9.3984375" style="280" customWidth="1"/>
    <col min="5907" max="5907" width="3.8984375" style="280" customWidth="1"/>
    <col min="5908" max="5909" width="8" style="280" customWidth="1"/>
    <col min="5910" max="6144" width="0" style="280" hidden="1"/>
    <col min="6145" max="6152" width="0" style="280" hidden="1" customWidth="1"/>
    <col min="6153" max="6162" width="9.3984375" style="280" customWidth="1"/>
    <col min="6163" max="6163" width="3.8984375" style="280" customWidth="1"/>
    <col min="6164" max="6165" width="8" style="280" customWidth="1"/>
    <col min="6166" max="6400" width="0" style="280" hidden="1"/>
    <col min="6401" max="6408" width="0" style="280" hidden="1" customWidth="1"/>
    <col min="6409" max="6418" width="9.3984375" style="280" customWidth="1"/>
    <col min="6419" max="6419" width="3.8984375" style="280" customWidth="1"/>
    <col min="6420" max="6421" width="8" style="280" customWidth="1"/>
    <col min="6422" max="6656" width="0" style="280" hidden="1"/>
    <col min="6657" max="6664" width="0" style="280" hidden="1" customWidth="1"/>
    <col min="6665" max="6674" width="9.3984375" style="280" customWidth="1"/>
    <col min="6675" max="6675" width="3.8984375" style="280" customWidth="1"/>
    <col min="6676" max="6677" width="8" style="280" customWidth="1"/>
    <col min="6678" max="6912" width="0" style="280" hidden="1"/>
    <col min="6913" max="6920" width="0" style="280" hidden="1" customWidth="1"/>
    <col min="6921" max="6930" width="9.3984375" style="280" customWidth="1"/>
    <col min="6931" max="6931" width="3.8984375" style="280" customWidth="1"/>
    <col min="6932" max="6933" width="8" style="280" customWidth="1"/>
    <col min="6934" max="7168" width="0" style="280" hidden="1"/>
    <col min="7169" max="7176" width="0" style="280" hidden="1" customWidth="1"/>
    <col min="7177" max="7186" width="9.3984375" style="280" customWidth="1"/>
    <col min="7187" max="7187" width="3.8984375" style="280" customWidth="1"/>
    <col min="7188" max="7189" width="8" style="280" customWidth="1"/>
    <col min="7190" max="7424" width="0" style="280" hidden="1"/>
    <col min="7425" max="7432" width="0" style="280" hidden="1" customWidth="1"/>
    <col min="7433" max="7442" width="9.3984375" style="280" customWidth="1"/>
    <col min="7443" max="7443" width="3.8984375" style="280" customWidth="1"/>
    <col min="7444" max="7445" width="8" style="280" customWidth="1"/>
    <col min="7446" max="7680" width="0" style="280" hidden="1"/>
    <col min="7681" max="7688" width="0" style="280" hidden="1" customWidth="1"/>
    <col min="7689" max="7698" width="9.3984375" style="280" customWidth="1"/>
    <col min="7699" max="7699" width="3.8984375" style="280" customWidth="1"/>
    <col min="7700" max="7701" width="8" style="280" customWidth="1"/>
    <col min="7702" max="7936" width="0" style="280" hidden="1"/>
    <col min="7937" max="7944" width="0" style="280" hidden="1" customWidth="1"/>
    <col min="7945" max="7954" width="9.3984375" style="280" customWidth="1"/>
    <col min="7955" max="7955" width="3.8984375" style="280" customWidth="1"/>
    <col min="7956" max="7957" width="8" style="280" customWidth="1"/>
    <col min="7958" max="8192" width="0" style="280" hidden="1"/>
    <col min="8193" max="8200" width="0" style="280" hidden="1" customWidth="1"/>
    <col min="8201" max="8210" width="9.3984375" style="280" customWidth="1"/>
    <col min="8211" max="8211" width="3.8984375" style="280" customWidth="1"/>
    <col min="8212" max="8213" width="8" style="280" customWidth="1"/>
    <col min="8214" max="8448" width="0" style="280" hidden="1"/>
    <col min="8449" max="8456" width="0" style="280" hidden="1" customWidth="1"/>
    <col min="8457" max="8466" width="9.3984375" style="280" customWidth="1"/>
    <col min="8467" max="8467" width="3.8984375" style="280" customWidth="1"/>
    <col min="8468" max="8469" width="8" style="280" customWidth="1"/>
    <col min="8470" max="8704" width="0" style="280" hidden="1"/>
    <col min="8705" max="8712" width="0" style="280" hidden="1" customWidth="1"/>
    <col min="8713" max="8722" width="9.3984375" style="280" customWidth="1"/>
    <col min="8723" max="8723" width="3.8984375" style="280" customWidth="1"/>
    <col min="8724" max="8725" width="8" style="280" customWidth="1"/>
    <col min="8726" max="8960" width="0" style="280" hidden="1"/>
    <col min="8961" max="8968" width="0" style="280" hidden="1" customWidth="1"/>
    <col min="8969" max="8978" width="9.3984375" style="280" customWidth="1"/>
    <col min="8979" max="8979" width="3.8984375" style="280" customWidth="1"/>
    <col min="8980" max="8981" width="8" style="280" customWidth="1"/>
    <col min="8982" max="9216" width="0" style="280" hidden="1"/>
    <col min="9217" max="9224" width="0" style="280" hidden="1" customWidth="1"/>
    <col min="9225" max="9234" width="9.3984375" style="280" customWidth="1"/>
    <col min="9235" max="9235" width="3.8984375" style="280" customWidth="1"/>
    <col min="9236" max="9237" width="8" style="280" customWidth="1"/>
    <col min="9238" max="9472" width="0" style="280" hidden="1"/>
    <col min="9473" max="9480" width="0" style="280" hidden="1" customWidth="1"/>
    <col min="9481" max="9490" width="9.3984375" style="280" customWidth="1"/>
    <col min="9491" max="9491" width="3.8984375" style="280" customWidth="1"/>
    <col min="9492" max="9493" width="8" style="280" customWidth="1"/>
    <col min="9494" max="9728" width="0" style="280" hidden="1"/>
    <col min="9729" max="9736" width="0" style="280" hidden="1" customWidth="1"/>
    <col min="9737" max="9746" width="9.3984375" style="280" customWidth="1"/>
    <col min="9747" max="9747" width="3.8984375" style="280" customWidth="1"/>
    <col min="9748" max="9749" width="8" style="280" customWidth="1"/>
    <col min="9750" max="9984" width="0" style="280" hidden="1"/>
    <col min="9985" max="9992" width="0" style="280" hidden="1" customWidth="1"/>
    <col min="9993" max="10002" width="9.3984375" style="280" customWidth="1"/>
    <col min="10003" max="10003" width="3.8984375" style="280" customWidth="1"/>
    <col min="10004" max="10005" width="8" style="280" customWidth="1"/>
    <col min="10006" max="10240" width="0" style="280" hidden="1"/>
    <col min="10241" max="10248" width="0" style="280" hidden="1" customWidth="1"/>
    <col min="10249" max="10258" width="9.3984375" style="280" customWidth="1"/>
    <col min="10259" max="10259" width="3.8984375" style="280" customWidth="1"/>
    <col min="10260" max="10261" width="8" style="280" customWidth="1"/>
    <col min="10262" max="10496" width="0" style="280" hidden="1"/>
    <col min="10497" max="10504" width="0" style="280" hidden="1" customWidth="1"/>
    <col min="10505" max="10514" width="9.3984375" style="280" customWidth="1"/>
    <col min="10515" max="10515" width="3.8984375" style="280" customWidth="1"/>
    <col min="10516" max="10517" width="8" style="280" customWidth="1"/>
    <col min="10518" max="10752" width="0" style="280" hidden="1"/>
    <col min="10753" max="10760" width="0" style="280" hidden="1" customWidth="1"/>
    <col min="10761" max="10770" width="9.3984375" style="280" customWidth="1"/>
    <col min="10771" max="10771" width="3.8984375" style="280" customWidth="1"/>
    <col min="10772" max="10773" width="8" style="280" customWidth="1"/>
    <col min="10774" max="11008" width="0" style="280" hidden="1"/>
    <col min="11009" max="11016" width="0" style="280" hidden="1" customWidth="1"/>
    <col min="11017" max="11026" width="9.3984375" style="280" customWidth="1"/>
    <col min="11027" max="11027" width="3.8984375" style="280" customWidth="1"/>
    <col min="11028" max="11029" width="8" style="280" customWidth="1"/>
    <col min="11030" max="11264" width="0" style="280" hidden="1"/>
    <col min="11265" max="11272" width="0" style="280" hidden="1" customWidth="1"/>
    <col min="11273" max="11282" width="9.3984375" style="280" customWidth="1"/>
    <col min="11283" max="11283" width="3.8984375" style="280" customWidth="1"/>
    <col min="11284" max="11285" width="8" style="280" customWidth="1"/>
    <col min="11286" max="11520" width="0" style="280" hidden="1"/>
    <col min="11521" max="11528" width="0" style="280" hidden="1" customWidth="1"/>
    <col min="11529" max="11538" width="9.3984375" style="280" customWidth="1"/>
    <col min="11539" max="11539" width="3.8984375" style="280" customWidth="1"/>
    <col min="11540" max="11541" width="8" style="280" customWidth="1"/>
    <col min="11542" max="11776" width="0" style="280" hidden="1"/>
    <col min="11777" max="11784" width="0" style="280" hidden="1" customWidth="1"/>
    <col min="11785" max="11794" width="9.3984375" style="280" customWidth="1"/>
    <col min="11795" max="11795" width="3.8984375" style="280" customWidth="1"/>
    <col min="11796" max="11797" width="8" style="280" customWidth="1"/>
    <col min="11798" max="12032" width="0" style="280" hidden="1"/>
    <col min="12033" max="12040" width="0" style="280" hidden="1" customWidth="1"/>
    <col min="12041" max="12050" width="9.3984375" style="280" customWidth="1"/>
    <col min="12051" max="12051" width="3.8984375" style="280" customWidth="1"/>
    <col min="12052" max="12053" width="8" style="280" customWidth="1"/>
    <col min="12054" max="12288" width="0" style="280" hidden="1"/>
    <col min="12289" max="12296" width="0" style="280" hidden="1" customWidth="1"/>
    <col min="12297" max="12306" width="9.3984375" style="280" customWidth="1"/>
    <col min="12307" max="12307" width="3.8984375" style="280" customWidth="1"/>
    <col min="12308" max="12309" width="8" style="280" customWidth="1"/>
    <col min="12310" max="12544" width="0" style="280" hidden="1"/>
    <col min="12545" max="12552" width="0" style="280" hidden="1" customWidth="1"/>
    <col min="12553" max="12562" width="9.3984375" style="280" customWidth="1"/>
    <col min="12563" max="12563" width="3.8984375" style="280" customWidth="1"/>
    <col min="12564" max="12565" width="8" style="280" customWidth="1"/>
    <col min="12566" max="12800" width="0" style="280" hidden="1"/>
    <col min="12801" max="12808" width="0" style="280" hidden="1" customWidth="1"/>
    <col min="12809" max="12818" width="9.3984375" style="280" customWidth="1"/>
    <col min="12819" max="12819" width="3.8984375" style="280" customWidth="1"/>
    <col min="12820" max="12821" width="8" style="280" customWidth="1"/>
    <col min="12822" max="13056" width="0" style="280" hidden="1"/>
    <col min="13057" max="13064" width="0" style="280" hidden="1" customWidth="1"/>
    <col min="13065" max="13074" width="9.3984375" style="280" customWidth="1"/>
    <col min="13075" max="13075" width="3.8984375" style="280" customWidth="1"/>
    <col min="13076" max="13077" width="8" style="280" customWidth="1"/>
    <col min="13078" max="13312" width="0" style="280" hidden="1"/>
    <col min="13313" max="13320" width="0" style="280" hidden="1" customWidth="1"/>
    <col min="13321" max="13330" width="9.3984375" style="280" customWidth="1"/>
    <col min="13331" max="13331" width="3.8984375" style="280" customWidth="1"/>
    <col min="13332" max="13333" width="8" style="280" customWidth="1"/>
    <col min="13334" max="13568" width="0" style="280" hidden="1"/>
    <col min="13569" max="13576" width="0" style="280" hidden="1" customWidth="1"/>
    <col min="13577" max="13586" width="9.3984375" style="280" customWidth="1"/>
    <col min="13587" max="13587" width="3.8984375" style="280" customWidth="1"/>
    <col min="13588" max="13589" width="8" style="280" customWidth="1"/>
    <col min="13590" max="13824" width="0" style="280" hidden="1"/>
    <col min="13825" max="13832" width="0" style="280" hidden="1" customWidth="1"/>
    <col min="13833" max="13842" width="9.3984375" style="280" customWidth="1"/>
    <col min="13843" max="13843" width="3.8984375" style="280" customWidth="1"/>
    <col min="13844" max="13845" width="8" style="280" customWidth="1"/>
    <col min="13846" max="14080" width="0" style="280" hidden="1"/>
    <col min="14081" max="14088" width="0" style="280" hidden="1" customWidth="1"/>
    <col min="14089" max="14098" width="9.3984375" style="280" customWidth="1"/>
    <col min="14099" max="14099" width="3.8984375" style="280" customWidth="1"/>
    <col min="14100" max="14101" width="8" style="280" customWidth="1"/>
    <col min="14102" max="14336" width="0" style="280" hidden="1"/>
    <col min="14337" max="14344" width="0" style="280" hidden="1" customWidth="1"/>
    <col min="14345" max="14354" width="9.3984375" style="280" customWidth="1"/>
    <col min="14355" max="14355" width="3.8984375" style="280" customWidth="1"/>
    <col min="14356" max="14357" width="8" style="280" customWidth="1"/>
    <col min="14358" max="14592" width="0" style="280" hidden="1"/>
    <col min="14593" max="14600" width="0" style="280" hidden="1" customWidth="1"/>
    <col min="14601" max="14610" width="9.3984375" style="280" customWidth="1"/>
    <col min="14611" max="14611" width="3.8984375" style="280" customWidth="1"/>
    <col min="14612" max="14613" width="8" style="280" customWidth="1"/>
    <col min="14614" max="14848" width="0" style="280" hidden="1"/>
    <col min="14849" max="14856" width="0" style="280" hidden="1" customWidth="1"/>
    <col min="14857" max="14866" width="9.3984375" style="280" customWidth="1"/>
    <col min="14867" max="14867" width="3.8984375" style="280" customWidth="1"/>
    <col min="14868" max="14869" width="8" style="280" customWidth="1"/>
    <col min="14870" max="15104" width="0" style="280" hidden="1"/>
    <col min="15105" max="15112" width="0" style="280" hidden="1" customWidth="1"/>
    <col min="15113" max="15122" width="9.3984375" style="280" customWidth="1"/>
    <col min="15123" max="15123" width="3.8984375" style="280" customWidth="1"/>
    <col min="15124" max="15125" width="8" style="280" customWidth="1"/>
    <col min="15126" max="15360" width="0" style="280" hidden="1"/>
    <col min="15361" max="15368" width="0" style="280" hidden="1" customWidth="1"/>
    <col min="15369" max="15378" width="9.3984375" style="280" customWidth="1"/>
    <col min="15379" max="15379" width="3.8984375" style="280" customWidth="1"/>
    <col min="15380" max="15381" width="8" style="280" customWidth="1"/>
    <col min="15382" max="15616" width="0" style="280" hidden="1"/>
    <col min="15617" max="15624" width="0" style="280" hidden="1" customWidth="1"/>
    <col min="15625" max="15634" width="9.3984375" style="280" customWidth="1"/>
    <col min="15635" max="15635" width="3.8984375" style="280" customWidth="1"/>
    <col min="15636" max="15637" width="8" style="280" customWidth="1"/>
    <col min="15638" max="15872" width="0" style="280" hidden="1"/>
    <col min="15873" max="15880" width="0" style="280" hidden="1" customWidth="1"/>
    <col min="15881" max="15890" width="9.3984375" style="280" customWidth="1"/>
    <col min="15891" max="15891" width="3.8984375" style="280" customWidth="1"/>
    <col min="15892" max="15893" width="8" style="280" customWidth="1"/>
    <col min="15894" max="16128" width="0" style="280" hidden="1"/>
    <col min="16129" max="16136" width="0" style="280" hidden="1" customWidth="1"/>
    <col min="16137" max="16146" width="9.3984375" style="280" customWidth="1"/>
    <col min="16147" max="16147" width="3.8984375" style="280" customWidth="1"/>
    <col min="16148" max="16149" width="8" style="280" customWidth="1"/>
    <col min="16150" max="16384" width="0" style="280" hidden="1"/>
  </cols>
  <sheetData>
    <row r="1" spans="1:19" ht="15" customHeight="1">
      <c r="E1" s="281" t="s">
        <v>984</v>
      </c>
      <c r="F1" s="281" t="s">
        <v>985</v>
      </c>
      <c r="G1" s="281" t="s">
        <v>986</v>
      </c>
      <c r="N1" s="282"/>
      <c r="Q1" s="415" t="s">
        <v>987</v>
      </c>
      <c r="R1" s="416"/>
    </row>
    <row r="2" spans="1:19" ht="15.6">
      <c r="A2" s="280" t="s">
        <v>988</v>
      </c>
      <c r="B2" s="283" t="s">
        <v>989</v>
      </c>
      <c r="C2" s="280" t="str">
        <f t="shared" ref="C2:C47" si="0">CONCATENATE(A2,"-",B2)</f>
        <v>Construção e Reforma de Edifícios-AC</v>
      </c>
      <c r="E2" s="284">
        <v>0.03</v>
      </c>
      <c r="F2" s="284">
        <v>0.04</v>
      </c>
      <c r="G2" s="284">
        <v>5.5E-2</v>
      </c>
      <c r="N2" s="285"/>
      <c r="Q2" s="417" t="s">
        <v>990</v>
      </c>
      <c r="R2" s="418"/>
    </row>
    <row r="3" spans="1:19" ht="13.2">
      <c r="A3" s="280" t="str">
        <f>A2</f>
        <v>Construção e Reforma de Edifícios</v>
      </c>
      <c r="B3" s="283" t="s">
        <v>991</v>
      </c>
      <c r="C3" s="280" t="str">
        <f t="shared" si="0"/>
        <v>Construção e Reforma de Edifícios-SG</v>
      </c>
      <c r="E3" s="284">
        <v>8.0000000000000002E-3</v>
      </c>
      <c r="F3" s="284">
        <v>8.0000000000000002E-3</v>
      </c>
      <c r="G3" s="284">
        <v>0.01</v>
      </c>
    </row>
    <row r="4" spans="1:19" ht="13.2">
      <c r="A4" s="280" t="str">
        <f>A3</f>
        <v>Construção e Reforma de Edifícios</v>
      </c>
      <c r="B4" s="283" t="s">
        <v>992</v>
      </c>
      <c r="C4" s="280" t="str">
        <f t="shared" si="0"/>
        <v>Construção e Reforma de Edifícios-R</v>
      </c>
      <c r="E4" s="284">
        <v>9.7000000000000003E-3</v>
      </c>
      <c r="F4" s="284">
        <v>1.2699999999999999E-2</v>
      </c>
      <c r="G4" s="284">
        <v>1.2699999999999999E-2</v>
      </c>
      <c r="I4" s="404" t="s">
        <v>993</v>
      </c>
      <c r="J4" s="406"/>
      <c r="K4" s="404" t="s">
        <v>994</v>
      </c>
      <c r="L4" s="405"/>
      <c r="M4" s="405"/>
      <c r="N4" s="405"/>
      <c r="O4" s="405"/>
      <c r="P4" s="405"/>
      <c r="Q4" s="405"/>
      <c r="R4" s="406"/>
    </row>
    <row r="5" spans="1:19" ht="12.75" customHeight="1">
      <c r="A5" s="280" t="str">
        <f>A4</f>
        <v>Construção e Reforma de Edifícios</v>
      </c>
      <c r="B5" s="283" t="s">
        <v>995</v>
      </c>
      <c r="C5" s="280" t="str">
        <f t="shared" si="0"/>
        <v>Construção e Reforma de Edifícios-DF</v>
      </c>
      <c r="E5" s="284">
        <v>5.8999999999999999E-3</v>
      </c>
      <c r="F5" s="284">
        <v>1.23E-2</v>
      </c>
      <c r="G5" s="284">
        <v>1.3899999999999999E-2</v>
      </c>
      <c r="I5" s="419"/>
      <c r="J5" s="420"/>
      <c r="K5" s="407" t="s">
        <v>996</v>
      </c>
      <c r="L5" s="421"/>
      <c r="M5" s="421"/>
      <c r="N5" s="421"/>
      <c r="O5" s="421"/>
      <c r="P5" s="421"/>
      <c r="Q5" s="421"/>
      <c r="R5" s="422"/>
      <c r="S5" s="286"/>
    </row>
    <row r="6" spans="1:19" ht="6" customHeight="1">
      <c r="A6" s="280" t="str">
        <f>A5</f>
        <v>Construção e Reforma de Edifícios</v>
      </c>
      <c r="B6" s="283" t="s">
        <v>997</v>
      </c>
      <c r="C6" s="280" t="str">
        <f t="shared" si="0"/>
        <v>Construção e Reforma de Edifícios-L</v>
      </c>
      <c r="E6" s="284">
        <v>6.1600000000000002E-2</v>
      </c>
      <c r="F6" s="284">
        <v>7.400000000000001E-2</v>
      </c>
      <c r="G6" s="284">
        <v>8.9600000000000013E-2</v>
      </c>
      <c r="I6" s="287"/>
      <c r="J6" s="287"/>
      <c r="K6" s="287"/>
      <c r="L6" s="287"/>
      <c r="M6" s="287"/>
      <c r="N6" s="287"/>
      <c r="O6" s="287"/>
      <c r="P6" s="287"/>
      <c r="Q6" s="287"/>
      <c r="R6" s="287"/>
    </row>
    <row r="7" spans="1:19" ht="13.5" customHeight="1">
      <c r="A7" s="280" t="str">
        <f>A6</f>
        <v>Construção e Reforma de Edifícios</v>
      </c>
      <c r="B7" s="288" t="s">
        <v>998</v>
      </c>
      <c r="C7" s="280" t="str">
        <f t="shared" si="0"/>
        <v>Construção e Reforma de Edifícios-BDI PAD</v>
      </c>
      <c r="E7" s="284">
        <v>0.2034</v>
      </c>
      <c r="F7" s="284">
        <v>0.22120000000000001</v>
      </c>
      <c r="G7" s="284">
        <v>0.25</v>
      </c>
      <c r="I7" s="404" t="s">
        <v>999</v>
      </c>
      <c r="J7" s="405"/>
      <c r="K7" s="405"/>
      <c r="L7" s="405"/>
      <c r="M7" s="405"/>
      <c r="N7" s="405"/>
      <c r="O7" s="405"/>
      <c r="P7" s="405"/>
      <c r="Q7" s="405"/>
      <c r="R7" s="406"/>
    </row>
    <row r="8" spans="1:19" ht="24.75" customHeight="1">
      <c r="A8" s="280" t="s">
        <v>1000</v>
      </c>
      <c r="B8" s="283" t="s">
        <v>989</v>
      </c>
      <c r="C8" s="280" t="str">
        <f t="shared" si="0"/>
        <v>Construção de Praças Urbanas, Rodovias, Ferrovias e recapeamento e pavimentação de vias urbanas-AC</v>
      </c>
      <c r="E8" s="284">
        <v>3.7999999999999999E-2</v>
      </c>
      <c r="F8" s="284">
        <v>4.0099999999999997E-2</v>
      </c>
      <c r="G8" s="284">
        <v>4.6699999999999998E-2</v>
      </c>
      <c r="I8" s="407" t="s">
        <v>1001</v>
      </c>
      <c r="J8" s="408"/>
      <c r="K8" s="408"/>
      <c r="L8" s="408"/>
      <c r="M8" s="408"/>
      <c r="N8" s="408"/>
      <c r="O8" s="408"/>
      <c r="P8" s="408"/>
      <c r="Q8" s="408"/>
      <c r="R8" s="409"/>
    </row>
    <row r="9" spans="1:19" ht="6" customHeight="1">
      <c r="A9" s="280" t="s">
        <v>1000</v>
      </c>
      <c r="B9" s="283" t="s">
        <v>991</v>
      </c>
      <c r="C9" s="280" t="str">
        <f t="shared" si="0"/>
        <v>Construção de Praças Urbanas, Rodovias, Ferrovias e recapeamento e pavimentação de vias urbanas-SG</v>
      </c>
      <c r="E9" s="284">
        <v>3.2000000000000002E-3</v>
      </c>
      <c r="F9" s="284">
        <v>4.0000000000000001E-3</v>
      </c>
      <c r="G9" s="284">
        <v>7.4000000000000003E-3</v>
      </c>
      <c r="I9" s="287"/>
      <c r="J9" s="287"/>
      <c r="K9" s="287"/>
      <c r="L9" s="287"/>
      <c r="M9" s="287"/>
      <c r="N9" s="287"/>
      <c r="O9" s="287"/>
      <c r="P9" s="287"/>
      <c r="Q9" s="287"/>
      <c r="R9" s="287"/>
    </row>
    <row r="10" spans="1:19" ht="13.2">
      <c r="A10" s="280" t="s">
        <v>1000</v>
      </c>
      <c r="B10" s="283" t="s">
        <v>992</v>
      </c>
      <c r="C10" s="280" t="str">
        <f t="shared" si="0"/>
        <v>Construção de Praças Urbanas, Rodovias, Ferrovias e recapeamento e pavimentação de vias urbanas-R</v>
      </c>
      <c r="E10" s="284">
        <v>5.0000000000000001E-3</v>
      </c>
      <c r="F10" s="284">
        <v>5.6000000000000008E-3</v>
      </c>
      <c r="G10" s="284">
        <v>9.7000000000000003E-3</v>
      </c>
      <c r="I10" s="404" t="s">
        <v>1002</v>
      </c>
      <c r="J10" s="405"/>
      <c r="K10" s="405"/>
      <c r="L10" s="405"/>
      <c r="M10" s="405"/>
      <c r="N10" s="405"/>
      <c r="O10" s="405"/>
      <c r="P10" s="405"/>
      <c r="Q10" s="404" t="s">
        <v>1003</v>
      </c>
      <c r="R10" s="406"/>
    </row>
    <row r="11" spans="1:19" ht="13.2">
      <c r="A11" s="280" t="s">
        <v>1000</v>
      </c>
      <c r="B11" s="283" t="s">
        <v>995</v>
      </c>
      <c r="C11" s="280" t="str">
        <f t="shared" si="0"/>
        <v>Construção de Praças Urbanas, Rodovias, Ferrovias e recapeamento e pavimentação de vias urbanas-DF</v>
      </c>
      <c r="E11" s="284">
        <v>1.0200000000000001E-2</v>
      </c>
      <c r="F11" s="284">
        <v>1.11E-2</v>
      </c>
      <c r="G11" s="284">
        <v>1.21E-2</v>
      </c>
      <c r="I11" s="410" t="s">
        <v>988</v>
      </c>
      <c r="J11" s="411"/>
      <c r="K11" s="411"/>
      <c r="L11" s="411"/>
      <c r="M11" s="411"/>
      <c r="N11" s="411"/>
      <c r="O11" s="411"/>
      <c r="P11" s="412"/>
      <c r="Q11" s="413" t="s">
        <v>1004</v>
      </c>
      <c r="R11" s="414"/>
    </row>
    <row r="12" spans="1:19" ht="13.2">
      <c r="A12" s="280" t="s">
        <v>1000</v>
      </c>
      <c r="B12" s="283" t="s">
        <v>997</v>
      </c>
      <c r="C12" s="280" t="str">
        <f t="shared" si="0"/>
        <v>Construção de Praças Urbanas, Rodovias, Ferrovias e recapeamento e pavimentação de vias urbanas-L</v>
      </c>
      <c r="E12" s="284">
        <v>6.6400000000000001E-2</v>
      </c>
      <c r="F12" s="284">
        <v>7.2999999999999995E-2</v>
      </c>
      <c r="G12" s="284">
        <v>8.6899999999999991E-2</v>
      </c>
    </row>
    <row r="13" spans="1:19" ht="15" customHeight="1">
      <c r="A13" s="280" t="s">
        <v>1000</v>
      </c>
      <c r="B13" s="288" t="s">
        <v>998</v>
      </c>
      <c r="C13" s="280" t="str">
        <f t="shared" si="0"/>
        <v>Construção de Praças Urbanas, Rodovias, Ferrovias e recapeamento e pavimentação de vias urbanas-BDI PAD</v>
      </c>
      <c r="E13" s="284">
        <v>0.19600000000000001</v>
      </c>
      <c r="F13" s="284">
        <v>0.2097</v>
      </c>
      <c r="G13" s="284">
        <v>0.24230000000000002</v>
      </c>
      <c r="I13" s="398" t="s">
        <v>1005</v>
      </c>
      <c r="J13" s="398"/>
      <c r="K13" s="398"/>
      <c r="L13" s="398"/>
      <c r="M13" s="398"/>
      <c r="N13" s="398"/>
      <c r="O13" s="398"/>
      <c r="P13" s="398"/>
      <c r="Q13" s="399">
        <v>1</v>
      </c>
      <c r="R13" s="399"/>
    </row>
    <row r="14" spans="1:19" ht="15" customHeight="1">
      <c r="A14" s="280" t="s">
        <v>1006</v>
      </c>
      <c r="B14" s="283" t="s">
        <v>989</v>
      </c>
      <c r="C14" s="280" t="str">
        <f t="shared" si="0"/>
        <v>Construção de Redes de Abastecimento de Água, Coleta de Esgoto-AC</v>
      </c>
      <c r="E14" s="284">
        <v>3.4300000000000004E-2</v>
      </c>
      <c r="F14" s="284">
        <v>4.9299999999999997E-2</v>
      </c>
      <c r="G14" s="284">
        <v>6.7099999999999993E-2</v>
      </c>
      <c r="I14" s="400" t="s">
        <v>1007</v>
      </c>
      <c r="J14" s="400"/>
      <c r="K14" s="400"/>
      <c r="L14" s="400"/>
      <c r="M14" s="400"/>
      <c r="N14" s="400"/>
      <c r="O14" s="400"/>
      <c r="P14" s="400"/>
      <c r="Q14" s="399">
        <v>0.05</v>
      </c>
      <c r="R14" s="399"/>
    </row>
    <row r="15" spans="1:19" ht="13.2">
      <c r="A15" s="280" t="str">
        <f>A14</f>
        <v>Construção de Redes de Abastecimento de Água, Coleta de Esgoto</v>
      </c>
      <c r="B15" s="283" t="s">
        <v>991</v>
      </c>
      <c r="C15" s="280" t="str">
        <f t="shared" si="0"/>
        <v>Construção de Redes de Abastecimento de Água, Coleta de Esgoto-SG</v>
      </c>
      <c r="E15" s="284">
        <v>2.8000000000000004E-3</v>
      </c>
      <c r="F15" s="284">
        <v>4.8999999999999998E-3</v>
      </c>
      <c r="G15" s="284">
        <v>7.4999999999999997E-3</v>
      </c>
    </row>
    <row r="16" spans="1:19" ht="13.8">
      <c r="B16" s="283"/>
      <c r="E16" s="284"/>
      <c r="F16" s="284"/>
      <c r="G16" s="284"/>
      <c r="I16" s="401" t="s">
        <v>1008</v>
      </c>
      <c r="J16" s="401"/>
      <c r="K16" s="401"/>
      <c r="L16" s="401"/>
      <c r="M16" s="401" t="s">
        <v>1009</v>
      </c>
      <c r="N16" s="402" t="s">
        <v>1010</v>
      </c>
      <c r="O16" s="402" t="s">
        <v>1011</v>
      </c>
      <c r="P16" s="403" t="s">
        <v>1012</v>
      </c>
      <c r="Q16" s="403"/>
      <c r="R16" s="403"/>
    </row>
    <row r="17" spans="1:18" ht="13.8">
      <c r="A17" s="280" t="str">
        <f>A15</f>
        <v>Construção de Redes de Abastecimento de Água, Coleta de Esgoto</v>
      </c>
      <c r="B17" s="283" t="s">
        <v>992</v>
      </c>
      <c r="C17" s="280" t="str">
        <f t="shared" si="0"/>
        <v>Construção de Redes de Abastecimento de Água, Coleta de Esgoto-R</v>
      </c>
      <c r="E17" s="284">
        <v>0.01</v>
      </c>
      <c r="F17" s="284">
        <v>1.3899999999999999E-2</v>
      </c>
      <c r="G17" s="284">
        <v>1.7399999999999999E-2</v>
      </c>
      <c r="I17" s="401"/>
      <c r="J17" s="401"/>
      <c r="K17" s="401"/>
      <c r="L17" s="401"/>
      <c r="M17" s="401"/>
      <c r="N17" s="402"/>
      <c r="O17" s="402"/>
      <c r="P17" s="289" t="s">
        <v>1013</v>
      </c>
      <c r="Q17" s="289" t="s">
        <v>1014</v>
      </c>
      <c r="R17" s="290" t="s">
        <v>1015</v>
      </c>
    </row>
    <row r="18" spans="1:18" ht="30.75" customHeight="1">
      <c r="A18" s="280" t="str">
        <f>A17</f>
        <v>Construção de Redes de Abastecimento de Água, Coleta de Esgoto</v>
      </c>
      <c r="B18" s="283" t="s">
        <v>995</v>
      </c>
      <c r="C18" s="280" t="str">
        <f t="shared" si="0"/>
        <v>Construção de Redes de Abastecimento de Água, Coleta de Esgoto-DF</v>
      </c>
      <c r="E18" s="284">
        <v>9.3999999999999986E-3</v>
      </c>
      <c r="F18" s="284">
        <v>9.8999999999999991E-3</v>
      </c>
      <c r="G18" s="284">
        <v>1.1699999999999999E-2</v>
      </c>
      <c r="I18" s="395" t="str">
        <f>IF($I$11=$A$56,"Encargos Sociais incidentes sobre a mão de obra","Administração Central")</f>
        <v>Administração Central</v>
      </c>
      <c r="J18" s="395"/>
      <c r="K18" s="395"/>
      <c r="L18" s="395"/>
      <c r="M18" s="291" t="str">
        <f>IF($I$11=$A$56,"K1","AC")</f>
        <v>AC</v>
      </c>
      <c r="N18" s="292">
        <v>0.03</v>
      </c>
      <c r="O18" s="293" t="s">
        <v>1016</v>
      </c>
      <c r="P18" s="294">
        <f>VLOOKUP(CONCATENATE(I$11,"-",M18),$C$2:$G$47,3,FALSE)</f>
        <v>0.03</v>
      </c>
      <c r="Q18" s="294">
        <f>VLOOKUP(CONCATENATE(I$11,"-",M18),$C$2:$G$47,4,FALSE)</f>
        <v>0.04</v>
      </c>
      <c r="R18" s="294">
        <f>VLOOKUP(CONCATENATE(I$11,"-",M18),$C$2:$G$47,5,FALSE)</f>
        <v>5.5E-2</v>
      </c>
    </row>
    <row r="19" spans="1:18" ht="30.75" customHeight="1">
      <c r="A19" s="280" t="str">
        <f>A18</f>
        <v>Construção de Redes de Abastecimento de Água, Coleta de Esgoto</v>
      </c>
      <c r="B19" s="283" t="s">
        <v>997</v>
      </c>
      <c r="C19" s="280" t="str">
        <f t="shared" si="0"/>
        <v>Construção de Redes de Abastecimento de Água, Coleta de Esgoto-L</v>
      </c>
      <c r="E19" s="284">
        <v>6.7400000000000002E-2</v>
      </c>
      <c r="F19" s="284">
        <v>8.0399999999999985E-2</v>
      </c>
      <c r="G19" s="284">
        <v>9.4E-2</v>
      </c>
      <c r="I19" s="395" t="str">
        <f>IF($I$11=$A$56,"Administração Central da empresa ou consultoria - overhead","Seguro e Garantia")</f>
        <v>Seguro e Garantia</v>
      </c>
      <c r="J19" s="395"/>
      <c r="K19" s="395"/>
      <c r="L19" s="395"/>
      <c r="M19" s="291" t="str">
        <f>IF($I$11=$A$56,"K2","SG")</f>
        <v>SG</v>
      </c>
      <c r="N19" s="292">
        <v>8.0000000000000002E-3</v>
      </c>
      <c r="O19" s="293" t="s">
        <v>1016</v>
      </c>
      <c r="P19" s="294">
        <f>VLOOKUP(CONCATENATE(I$11,"-",M19),$C$2:$G$47,3,FALSE)</f>
        <v>8.0000000000000002E-3</v>
      </c>
      <c r="Q19" s="294">
        <f>VLOOKUP(CONCATENATE(I$11,"-",M19),$C$2:$G$47,4,FALSE)</f>
        <v>8.0000000000000002E-3</v>
      </c>
      <c r="R19" s="294">
        <f>VLOOKUP(CONCATENATE(I$11,"-",M19),$C$2:$G$47,5,FALSE)</f>
        <v>0.01</v>
      </c>
    </row>
    <row r="20" spans="1:18" ht="30.75" customHeight="1">
      <c r="A20" s="280" t="str">
        <f>A19</f>
        <v>Construção de Redes de Abastecimento de Água, Coleta de Esgoto</v>
      </c>
      <c r="B20" s="288" t="s">
        <v>998</v>
      </c>
      <c r="C20" s="280" t="str">
        <f t="shared" si="0"/>
        <v>Construção de Redes de Abastecimento de Água, Coleta de Esgoto-BDI PAD</v>
      </c>
      <c r="E20" s="284">
        <v>0.20760000000000001</v>
      </c>
      <c r="F20" s="284">
        <v>0.24179999999999999</v>
      </c>
      <c r="G20" s="284">
        <v>0.26440000000000002</v>
      </c>
      <c r="I20" s="395" t="str">
        <f>IF($I$11=$A$56,"","Risco")</f>
        <v>Risco</v>
      </c>
      <c r="J20" s="395"/>
      <c r="K20" s="395"/>
      <c r="L20" s="395"/>
      <c r="M20" s="291" t="str">
        <f>IF($I$11=$A$56,"","R")</f>
        <v>R</v>
      </c>
      <c r="N20" s="292">
        <v>9.7000000000000003E-3</v>
      </c>
      <c r="O20" s="293" t="s">
        <v>1016</v>
      </c>
      <c r="P20" s="294">
        <f>VLOOKUP(CONCATENATE(I$11,"-",M20),$C$2:$G$47,3,FALSE)</f>
        <v>9.7000000000000003E-3</v>
      </c>
      <c r="Q20" s="294">
        <f>VLOOKUP(CONCATENATE(I$11,"-",M20),$C$2:$G$47,4,FALSE)</f>
        <v>1.2699999999999999E-2</v>
      </c>
      <c r="R20" s="294">
        <f>VLOOKUP(CONCATENATE(I$11,"-",M20),$C$2:$G$47,5,FALSE)</f>
        <v>1.2699999999999999E-2</v>
      </c>
    </row>
    <row r="21" spans="1:18" ht="30.75" customHeight="1">
      <c r="A21" s="280" t="s">
        <v>1017</v>
      </c>
      <c r="B21" s="283" t="s">
        <v>989</v>
      </c>
      <c r="C21" s="280" t="str">
        <f t="shared" si="0"/>
        <v>Construção e Manutenção de Estações e Redes de Distribuição de Energia Elétrica-AC</v>
      </c>
      <c r="E21" s="284">
        <v>5.2900000000000003E-2</v>
      </c>
      <c r="F21" s="284">
        <v>5.9200000000000003E-2</v>
      </c>
      <c r="G21" s="284">
        <v>7.9299999999999995E-2</v>
      </c>
      <c r="I21" s="395" t="str">
        <f>IF($I$11=$A$56,"","Despesas Financeiras")</f>
        <v>Despesas Financeiras</v>
      </c>
      <c r="J21" s="395"/>
      <c r="K21" s="395"/>
      <c r="L21" s="395"/>
      <c r="M21" s="291" t="str">
        <f>IF($I$11=$A$56,"","DF")</f>
        <v>DF</v>
      </c>
      <c r="N21" s="292">
        <v>5.8999999999999999E-3</v>
      </c>
      <c r="O21" s="293" t="s">
        <v>1016</v>
      </c>
      <c r="P21" s="294">
        <f>VLOOKUP(CONCATENATE(I$11,"-",M21),$C$2:$G$47,3,FALSE)</f>
        <v>5.8999999999999999E-3</v>
      </c>
      <c r="Q21" s="294">
        <f>VLOOKUP(CONCATENATE(I$11,"-",M21),$C$2:$G$47,4,FALSE)</f>
        <v>1.23E-2</v>
      </c>
      <c r="R21" s="294">
        <f>VLOOKUP(CONCATENATE(I$11,"-",M21),$C$2:$G$47,5,FALSE)</f>
        <v>1.3899999999999999E-2</v>
      </c>
    </row>
    <row r="22" spans="1:18" ht="30.75" customHeight="1">
      <c r="A22" s="280" t="str">
        <f>A21</f>
        <v>Construção e Manutenção de Estações e Redes de Distribuição de Energia Elétrica</v>
      </c>
      <c r="B22" s="283" t="s">
        <v>991</v>
      </c>
      <c r="C22" s="280" t="str">
        <f t="shared" si="0"/>
        <v>Construção e Manutenção de Estações e Redes de Distribuição de Energia Elétrica-SG</v>
      </c>
      <c r="E22" s="284">
        <v>2.5000000000000001E-3</v>
      </c>
      <c r="F22" s="284">
        <v>5.1000000000000004E-3</v>
      </c>
      <c r="G22" s="284">
        <v>5.6000000000000008E-3</v>
      </c>
      <c r="I22" s="395" t="str">
        <f>IF($I$11=$A$56,"Margem bruta da empresa de consultoria","Lucro")</f>
        <v>Lucro</v>
      </c>
      <c r="J22" s="395"/>
      <c r="K22" s="395"/>
      <c r="L22" s="395"/>
      <c r="M22" s="291" t="str">
        <f>IF($I$11=$A$56,"K3","L")</f>
        <v>L</v>
      </c>
      <c r="N22" s="292">
        <v>6.1600000000000002E-2</v>
      </c>
      <c r="O22" s="293" t="s">
        <v>1016</v>
      </c>
      <c r="P22" s="294">
        <f>VLOOKUP(CONCATENATE(I$11,"-",M22),$C$2:$G$47,3,FALSE)</f>
        <v>6.1600000000000002E-2</v>
      </c>
      <c r="Q22" s="294">
        <f>VLOOKUP(CONCATENATE(I$11,"-",M22),$C$2:$G$47,4,FALSE)</f>
        <v>7.400000000000001E-2</v>
      </c>
      <c r="R22" s="294">
        <f>VLOOKUP(CONCATENATE(I$11,"-",M22),$C$2:$G$47,5,FALSE)</f>
        <v>8.9600000000000013E-2</v>
      </c>
    </row>
    <row r="23" spans="1:18" ht="30.75" customHeight="1">
      <c r="A23" s="280" t="str">
        <f>A22</f>
        <v>Construção e Manutenção de Estações e Redes de Distribuição de Energia Elétrica</v>
      </c>
      <c r="B23" s="283" t="s">
        <v>992</v>
      </c>
      <c r="C23" s="280" t="str">
        <f t="shared" si="0"/>
        <v>Construção e Manutenção de Estações e Redes de Distribuição de Energia Elétrica-R</v>
      </c>
      <c r="E23" s="284">
        <v>0.01</v>
      </c>
      <c r="F23" s="284">
        <v>1.4800000000000001E-2</v>
      </c>
      <c r="G23" s="284">
        <v>1.9699999999999999E-2</v>
      </c>
      <c r="I23" s="396" t="s">
        <v>1018</v>
      </c>
      <c r="J23" s="396"/>
      <c r="K23" s="396"/>
      <c r="L23" s="396"/>
      <c r="M23" s="291" t="s">
        <v>1019</v>
      </c>
      <c r="N23" s="292">
        <v>3.6499999999999998E-2</v>
      </c>
      <c r="O23" s="293" t="s">
        <v>1016</v>
      </c>
      <c r="P23" s="294">
        <v>3.6499999999999998E-2</v>
      </c>
      <c r="Q23" s="294">
        <v>3.6499999999999998E-2</v>
      </c>
      <c r="R23" s="294">
        <v>3.6499999999999998E-2</v>
      </c>
    </row>
    <row r="24" spans="1:18" ht="30.75" customHeight="1">
      <c r="A24" s="280" t="str">
        <f>A23</f>
        <v>Construção e Manutenção de Estações e Redes de Distribuição de Energia Elétrica</v>
      </c>
      <c r="B24" s="283" t="s">
        <v>995</v>
      </c>
      <c r="C24" s="280" t="str">
        <f t="shared" si="0"/>
        <v>Construção e Manutenção de Estações e Redes de Distribuição de Energia Elétrica-DF</v>
      </c>
      <c r="E24" s="284">
        <v>1.01E-2</v>
      </c>
      <c r="F24" s="284">
        <v>1.0700000000000001E-2</v>
      </c>
      <c r="G24" s="284">
        <v>1.11E-2</v>
      </c>
      <c r="I24" s="395" t="s">
        <v>1020</v>
      </c>
      <c r="J24" s="395"/>
      <c r="K24" s="395"/>
      <c r="L24" s="395"/>
      <c r="M24" s="291" t="s">
        <v>1021</v>
      </c>
      <c r="N24" s="294">
        <f>IF(I11&lt;&gt;A55,Q14*Q13,0)</f>
        <v>0.05</v>
      </c>
      <c r="O24" s="293" t="s">
        <v>1016</v>
      </c>
      <c r="P24" s="294">
        <v>0</v>
      </c>
      <c r="Q24" s="294">
        <v>2.5000000000000001E-2</v>
      </c>
      <c r="R24" s="294">
        <v>0.05</v>
      </c>
    </row>
    <row r="25" spans="1:18" ht="30.75" customHeight="1">
      <c r="A25" s="280" t="str">
        <f>A24</f>
        <v>Construção e Manutenção de Estações e Redes de Distribuição de Energia Elétrica</v>
      </c>
      <c r="B25" s="283" t="s">
        <v>997</v>
      </c>
      <c r="C25" s="280" t="str">
        <f t="shared" si="0"/>
        <v>Construção e Manutenção de Estações e Redes de Distribuição de Energia Elétrica-L</v>
      </c>
      <c r="E25" s="284">
        <v>0.08</v>
      </c>
      <c r="F25" s="284">
        <v>8.3100000000000007E-2</v>
      </c>
      <c r="G25" s="284">
        <v>9.5100000000000004E-2</v>
      </c>
      <c r="I25" s="395" t="s">
        <v>1022</v>
      </c>
      <c r="J25" s="395"/>
      <c r="K25" s="395"/>
      <c r="L25" s="395"/>
      <c r="M25" s="291" t="s">
        <v>1023</v>
      </c>
      <c r="N25" s="294">
        <f>IF(Q11="Sim",4.5%,0%)</f>
        <v>4.4999999999999998E-2</v>
      </c>
      <c r="O25" s="293" t="str">
        <f>IF(AND(N25&gt;=P25, N25&lt;=R25), "OK", "Não OK")</f>
        <v>OK</v>
      </c>
      <c r="P25" s="295">
        <v>0</v>
      </c>
      <c r="Q25" s="295">
        <v>4.4999999999999998E-2</v>
      </c>
      <c r="R25" s="295">
        <v>4.4999999999999998E-2</v>
      </c>
    </row>
    <row r="26" spans="1:18" ht="30.75" customHeight="1">
      <c r="A26" s="280" t="str">
        <f>A25</f>
        <v>Construção e Manutenção de Estações e Redes de Distribuição de Energia Elétrica</v>
      </c>
      <c r="B26" s="288" t="s">
        <v>998</v>
      </c>
      <c r="C26" s="280" t="str">
        <f t="shared" si="0"/>
        <v>Construção e Manutenção de Estações e Redes de Distribuição de Energia Elétrica-BDI PAD</v>
      </c>
      <c r="E26" s="284">
        <v>0.24</v>
      </c>
      <c r="F26" s="284">
        <v>0.25840000000000002</v>
      </c>
      <c r="G26" s="284">
        <v>0.27860000000000001</v>
      </c>
      <c r="I26" s="395" t="s">
        <v>1024</v>
      </c>
      <c r="J26" s="395"/>
      <c r="K26" s="395"/>
      <c r="L26" s="395"/>
      <c r="M26" s="296" t="s">
        <v>998</v>
      </c>
      <c r="N26" s="294">
        <f>ROUND((((1+N18+N19+N20)*(1+N21)*(1+N22)/(1-(N23+N24)))-1),4)</f>
        <v>0.22470000000000001</v>
      </c>
      <c r="O26" s="293" t="str">
        <f>IF(OR($I$11=$A$56,AND(N26&gt;=P26, N26&lt;=R26)), "OK", "NÃO OK")</f>
        <v>OK</v>
      </c>
      <c r="P26" s="294">
        <f>VLOOKUP(CONCATENATE($I$11,"-",$M26),$C$2:$G$47,3,FALSE)</f>
        <v>0.2034</v>
      </c>
      <c r="Q26" s="294">
        <f>VLOOKUP(CONCATENATE($I$11,"-",$M26),$C$2:$G$47,4,FALSE)</f>
        <v>0.22120000000000001</v>
      </c>
      <c r="R26" s="294">
        <f>VLOOKUP(CONCATENATE($I$11,"-",$M26),$C$2:$G$47,5,FALSE)</f>
        <v>0.25</v>
      </c>
    </row>
    <row r="27" spans="1:18" ht="30" customHeight="1">
      <c r="A27" s="280" t="s">
        <v>1025</v>
      </c>
      <c r="B27" s="283" t="s">
        <v>989</v>
      </c>
      <c r="C27" s="280" t="str">
        <f t="shared" si="0"/>
        <v>Obras Portuárias, Marítimas e Fluviais-AC</v>
      </c>
      <c r="E27" s="284">
        <v>0.04</v>
      </c>
      <c r="F27" s="284">
        <v>5.5199999999999999E-2</v>
      </c>
      <c r="G27" s="284">
        <v>7.85E-2</v>
      </c>
      <c r="I27" s="397" t="s">
        <v>1026</v>
      </c>
      <c r="J27" s="397"/>
      <c r="K27" s="397"/>
      <c r="L27" s="397"/>
      <c r="M27" s="297" t="s">
        <v>1027</v>
      </c>
      <c r="N27" s="298">
        <f>ROUND((((1+N18+N19+N20)*(1+N21)*(1+N22)/(1-(N23+N24+N25)))-1),4)</f>
        <v>0.28820000000000001</v>
      </c>
      <c r="O27" s="299" t="str">
        <f>IF(Q11&lt;&gt;"Sim","",IF(COUNTIF($O$18:$O$26,"NÃO OK")&gt;0,"NÃO OK","OK"))</f>
        <v>OK</v>
      </c>
      <c r="P27" s="393"/>
      <c r="Q27" s="393"/>
      <c r="R27" s="393"/>
    </row>
    <row r="28" spans="1:18" ht="13.2">
      <c r="A28" s="280" t="str">
        <f>A27</f>
        <v>Obras Portuárias, Marítimas e Fluviais</v>
      </c>
      <c r="B28" s="283" t="s">
        <v>991</v>
      </c>
      <c r="C28" s="280" t="str">
        <f t="shared" si="0"/>
        <v>Obras Portuárias, Marítimas e Fluviais-SG</v>
      </c>
      <c r="E28" s="284">
        <v>8.1000000000000013E-3</v>
      </c>
      <c r="F28" s="284">
        <v>1.2199999999999999E-2</v>
      </c>
      <c r="G28" s="284">
        <v>1.9900000000000001E-2</v>
      </c>
    </row>
    <row r="29" spans="1:18" ht="27.75" customHeight="1">
      <c r="A29" s="280" t="str">
        <f>A28</f>
        <v>Obras Portuárias, Marítimas e Fluviais</v>
      </c>
      <c r="B29" s="283" t="s">
        <v>992</v>
      </c>
      <c r="C29" s="280" t="str">
        <f t="shared" si="0"/>
        <v>Obras Portuárias, Marítimas e Fluviais-R</v>
      </c>
      <c r="E29" s="284">
        <v>1.46E-2</v>
      </c>
      <c r="F29" s="284">
        <v>2.3199999999999998E-2</v>
      </c>
      <c r="G29" s="284">
        <v>3.1600000000000003E-2</v>
      </c>
      <c r="I29" s="394" t="s">
        <v>1028</v>
      </c>
      <c r="J29" s="394"/>
      <c r="K29" s="394"/>
      <c r="L29" s="394"/>
      <c r="M29" s="394"/>
      <c r="N29" s="394"/>
      <c r="O29" s="394"/>
      <c r="P29" s="394"/>
      <c r="Q29" s="394"/>
      <c r="R29" s="394"/>
    </row>
    <row r="30" spans="1:18" ht="27.75" customHeight="1">
      <c r="B30" s="283"/>
      <c r="E30" s="284"/>
      <c r="F30" s="284"/>
      <c r="G30" s="284"/>
      <c r="I30" s="300"/>
      <c r="J30" s="300"/>
      <c r="K30" s="300"/>
      <c r="L30" s="387" t="str">
        <f>IF(Q11="Sim","BDI.DES =","BDI.PAD =")</f>
        <v>BDI.DES =</v>
      </c>
      <c r="M30" s="388" t="str">
        <f>IF($I$11=$A$56,"(1+K1+K2)*(1+K3)","(1+AC + S + R + G)*(1 + DF)*(1+L)")</f>
        <v>(1+AC + S + R + G)*(1 + DF)*(1+L)</v>
      </c>
      <c r="N30" s="388"/>
      <c r="O30" s="388"/>
      <c r="P30" s="389" t="s">
        <v>1029</v>
      </c>
      <c r="Q30" s="300"/>
      <c r="R30" s="300"/>
    </row>
    <row r="31" spans="1:18" ht="27.75" customHeight="1">
      <c r="B31" s="283"/>
      <c r="E31" s="284"/>
      <c r="F31" s="284"/>
      <c r="G31" s="284"/>
      <c r="I31" s="300"/>
      <c r="J31" s="300"/>
      <c r="K31" s="300"/>
      <c r="L31" s="387"/>
      <c r="M31" s="391" t="str">
        <f>IF(Q11="Sim","(1-CP-ISS-CRPB)","(1-CP-ISS)")</f>
        <v>(1-CP-ISS-CRPB)</v>
      </c>
      <c r="N31" s="391"/>
      <c r="O31" s="391"/>
      <c r="P31" s="390"/>
      <c r="Q31" s="300"/>
      <c r="R31" s="300"/>
    </row>
    <row r="32" spans="1:18" ht="20.100000000000001" customHeight="1">
      <c r="A32" s="280" t="str">
        <f>A29</f>
        <v>Obras Portuárias, Marítimas e Fluviais</v>
      </c>
      <c r="B32" s="283" t="s">
        <v>995</v>
      </c>
      <c r="C32" s="280" t="str">
        <f t="shared" si="0"/>
        <v>Obras Portuárias, Marítimas e Fluviais-DF</v>
      </c>
      <c r="E32" s="284">
        <v>9.3999999999999986E-3</v>
      </c>
      <c r="F32" s="284">
        <v>1.0200000000000001E-2</v>
      </c>
      <c r="G32" s="284">
        <v>1.3300000000000001E-2</v>
      </c>
      <c r="I32" s="301"/>
      <c r="J32" s="301"/>
      <c r="K32" s="301"/>
      <c r="L32" s="301"/>
      <c r="M32" s="301"/>
      <c r="N32" s="301"/>
      <c r="O32" s="301"/>
      <c r="P32" s="301"/>
      <c r="Q32" s="301"/>
      <c r="R32" s="301"/>
    </row>
    <row r="33" spans="1:18" ht="50.1" customHeight="1">
      <c r="A33" s="280" t="str">
        <f>A32</f>
        <v>Obras Portuárias, Marítimas e Fluviais</v>
      </c>
      <c r="B33" s="283" t="s">
        <v>997</v>
      </c>
      <c r="C33" s="280" t="str">
        <f t="shared" si="0"/>
        <v>Obras Portuárias, Marítimas e Fluviais-L</v>
      </c>
      <c r="E33" s="284">
        <v>7.1399999999999991E-2</v>
      </c>
      <c r="F33" s="284">
        <v>8.4000000000000005E-2</v>
      </c>
      <c r="G33" s="284">
        <v>0.1043</v>
      </c>
      <c r="I33" s="392" t="str">
        <f>CONCATENATE("Declaro para os devidos fins que, conforme legislação tributária municipal, a base de cálculo para ",I11,", é de ",Q13*100,"%, com a respectiva alíquota de ",Q14*100,"%.")</f>
        <v>Declaro para os devidos fins que, conforme legislação tributária municipal, a base de cálculo para Construção e Reforma de Edifícios, é de 100%, com a respectiva alíquota de 5%.</v>
      </c>
      <c r="J33" s="392"/>
      <c r="K33" s="392"/>
      <c r="L33" s="392"/>
      <c r="M33" s="392"/>
      <c r="N33" s="392"/>
      <c r="O33" s="392"/>
      <c r="P33" s="392"/>
      <c r="Q33" s="392"/>
      <c r="R33" s="392"/>
    </row>
    <row r="34" spans="1:18" ht="22.5" customHeight="1">
      <c r="A34" s="280" t="str">
        <f>A33</f>
        <v>Obras Portuárias, Marítimas e Fluviais</v>
      </c>
      <c r="B34" s="288" t="s">
        <v>998</v>
      </c>
      <c r="C34" s="280" t="str">
        <f t="shared" si="0"/>
        <v>Obras Portuárias, Marítimas e Fluviais-BDI PAD</v>
      </c>
      <c r="E34" s="284">
        <v>0.22800000000000001</v>
      </c>
      <c r="F34" s="284">
        <v>0.27479999999999999</v>
      </c>
      <c r="G34" s="284">
        <v>0.3095</v>
      </c>
    </row>
    <row r="35" spans="1:18" ht="13.2">
      <c r="B35" s="288"/>
      <c r="E35" s="284"/>
      <c r="F35" s="284"/>
      <c r="G35" s="284"/>
    </row>
    <row r="36" spans="1:18" ht="13.2">
      <c r="A36" s="280" t="s">
        <v>1030</v>
      </c>
      <c r="B36" s="283" t="s">
        <v>989</v>
      </c>
      <c r="C36" s="280" t="str">
        <f t="shared" si="0"/>
        <v>Fornecimento de Materiais e Equipamentos-AC</v>
      </c>
      <c r="E36" s="284">
        <v>1.4999999999999999E-2</v>
      </c>
      <c r="F36" s="284">
        <v>3.4500000000000003E-2</v>
      </c>
      <c r="G36" s="284">
        <v>4.4900000000000002E-2</v>
      </c>
      <c r="I36" s="386" t="s">
        <v>1031</v>
      </c>
      <c r="J36" s="386"/>
      <c r="K36" s="386"/>
      <c r="L36" s="386"/>
      <c r="P36" s="302" t="s">
        <v>1032</v>
      </c>
    </row>
    <row r="37" spans="1:18" ht="13.2">
      <c r="A37" s="280" t="str">
        <f>A36</f>
        <v>Fornecimento de Materiais e Equipamentos</v>
      </c>
      <c r="B37" s="283" t="s">
        <v>991</v>
      </c>
      <c r="C37" s="280" t="str">
        <f t="shared" si="0"/>
        <v>Fornecimento de Materiais e Equipamentos-SG</v>
      </c>
      <c r="E37" s="284">
        <v>3.0000000000000001E-3</v>
      </c>
      <c r="F37" s="284">
        <v>4.7999999999999996E-3</v>
      </c>
      <c r="G37" s="284">
        <v>8.199999999999999E-3</v>
      </c>
      <c r="I37" s="385" t="s">
        <v>1033</v>
      </c>
      <c r="J37" s="385"/>
      <c r="K37" s="385"/>
      <c r="L37" s="385"/>
      <c r="N37" s="303"/>
      <c r="P37" s="384">
        <v>44392</v>
      </c>
      <c r="Q37" s="384"/>
      <c r="R37" s="384"/>
    </row>
    <row r="38" spans="1:18" ht="13.2">
      <c r="A38" s="280" t="str">
        <f>A37</f>
        <v>Fornecimento de Materiais e Equipamentos</v>
      </c>
      <c r="B38" s="283" t="s">
        <v>992</v>
      </c>
      <c r="C38" s="280" t="str">
        <f t="shared" si="0"/>
        <v>Fornecimento de Materiais e Equipamentos-R</v>
      </c>
      <c r="E38" s="284">
        <v>5.6000000000000008E-3</v>
      </c>
      <c r="F38" s="284">
        <v>8.5000000000000006E-3</v>
      </c>
      <c r="G38" s="284">
        <v>8.8999999999999999E-3</v>
      </c>
    </row>
    <row r="39" spans="1:18" ht="31.5" customHeight="1">
      <c r="A39" s="280" t="str">
        <f>A38</f>
        <v>Fornecimento de Materiais e Equipamentos</v>
      </c>
      <c r="B39" s="283" t="s">
        <v>995</v>
      </c>
      <c r="C39" s="280" t="str">
        <f t="shared" si="0"/>
        <v>Fornecimento de Materiais e Equipamentos-DF</v>
      </c>
      <c r="E39" s="284">
        <v>8.5000000000000006E-3</v>
      </c>
      <c r="F39" s="284">
        <v>8.5000000000000006E-3</v>
      </c>
      <c r="G39" s="284">
        <v>1.11E-2</v>
      </c>
      <c r="I39" s="382"/>
      <c r="J39" s="382"/>
      <c r="K39" s="382"/>
      <c r="L39" s="382"/>
      <c r="M39" s="304"/>
      <c r="N39" s="304"/>
      <c r="O39" s="382"/>
      <c r="P39" s="382"/>
      <c r="Q39" s="382"/>
      <c r="R39" s="382"/>
    </row>
    <row r="40" spans="1:18" ht="13.2">
      <c r="A40" s="280" t="str">
        <f>A39</f>
        <v>Fornecimento de Materiais e Equipamentos</v>
      </c>
      <c r="B40" s="283" t="s">
        <v>997</v>
      </c>
      <c r="C40" s="280" t="str">
        <f t="shared" si="0"/>
        <v>Fornecimento de Materiais e Equipamentos-L</v>
      </c>
      <c r="E40" s="284">
        <v>3.5000000000000003E-2</v>
      </c>
      <c r="F40" s="284">
        <v>5.1100000000000007E-2</v>
      </c>
      <c r="G40" s="284">
        <v>6.2199999999999998E-2</v>
      </c>
      <c r="I40" s="383" t="s">
        <v>1034</v>
      </c>
      <c r="J40" s="383"/>
      <c r="K40" s="383"/>
      <c r="L40" s="383"/>
      <c r="M40" s="305"/>
      <c r="N40" s="305"/>
      <c r="O40" s="383" t="s">
        <v>1035</v>
      </c>
      <c r="P40" s="383"/>
      <c r="Q40" s="383"/>
      <c r="R40" s="383"/>
    </row>
    <row r="41" spans="1:18" ht="15" customHeight="1">
      <c r="A41" s="280" t="str">
        <f>A40</f>
        <v>Fornecimento de Materiais e Equipamentos</v>
      </c>
      <c r="B41" s="288" t="s">
        <v>998</v>
      </c>
      <c r="C41" s="280" t="str">
        <f t="shared" si="0"/>
        <v>Fornecimento de Materiais e Equipamentos-BDI PAD</v>
      </c>
      <c r="E41" s="284">
        <v>0.111</v>
      </c>
      <c r="F41" s="284">
        <v>0.14019999999999999</v>
      </c>
      <c r="G41" s="284">
        <v>0.16800000000000001</v>
      </c>
      <c r="I41" s="306" t="s">
        <v>1036</v>
      </c>
      <c r="J41" s="381" t="s">
        <v>1157</v>
      </c>
      <c r="K41" s="381"/>
      <c r="L41" s="381"/>
      <c r="M41" s="307"/>
      <c r="N41" s="307"/>
      <c r="O41" s="306" t="s">
        <v>1036</v>
      </c>
      <c r="P41" s="384"/>
      <c r="Q41" s="384"/>
      <c r="R41" s="384"/>
    </row>
    <row r="42" spans="1:18" ht="13.8">
      <c r="A42" s="280" t="s">
        <v>1037</v>
      </c>
      <c r="B42" s="283" t="s">
        <v>1038</v>
      </c>
      <c r="C42" s="280" t="str">
        <f t="shared" si="0"/>
        <v>Estudos e Projetos, Planos e Gerenciamento e outros correlatos-K1</v>
      </c>
      <c r="E42" s="284" t="s">
        <v>1016</v>
      </c>
      <c r="F42" s="284" t="s">
        <v>1016</v>
      </c>
      <c r="G42" s="284" t="s">
        <v>1016</v>
      </c>
      <c r="I42" s="306" t="s">
        <v>1039</v>
      </c>
      <c r="J42" s="381" t="s">
        <v>1188</v>
      </c>
      <c r="K42" s="381"/>
      <c r="L42" s="381"/>
      <c r="M42" s="307"/>
      <c r="N42" s="307"/>
      <c r="O42" s="306" t="s">
        <v>1040</v>
      </c>
      <c r="P42" s="384"/>
      <c r="Q42" s="384"/>
      <c r="R42" s="384"/>
    </row>
    <row r="43" spans="1:18" ht="13.8">
      <c r="A43" s="280" t="str">
        <f>A42</f>
        <v>Estudos e Projetos, Planos e Gerenciamento e outros correlatos</v>
      </c>
      <c r="B43" s="283" t="s">
        <v>1041</v>
      </c>
      <c r="C43" s="280" t="str">
        <f t="shared" si="0"/>
        <v>Estudos e Projetos, Planos e Gerenciamento e outros correlatos-K2</v>
      </c>
      <c r="E43" s="284" t="s">
        <v>1016</v>
      </c>
      <c r="F43" s="284">
        <v>0.2</v>
      </c>
      <c r="G43" s="284" t="s">
        <v>1016</v>
      </c>
      <c r="I43" s="306" t="s">
        <v>1042</v>
      </c>
      <c r="J43" s="381" t="s">
        <v>1189</v>
      </c>
      <c r="K43" s="381"/>
      <c r="L43" s="381"/>
      <c r="M43" s="307"/>
      <c r="N43" s="307"/>
      <c r="O43" s="307"/>
      <c r="P43" s="307"/>
      <c r="Q43" s="307"/>
      <c r="R43" s="307"/>
    </row>
    <row r="44" spans="1:18" ht="13.2">
      <c r="A44" s="280" t="str">
        <f>A43</f>
        <v>Estudos e Projetos, Planos e Gerenciamento e outros correlatos</v>
      </c>
      <c r="B44" s="283" t="s">
        <v>1043</v>
      </c>
      <c r="C44" s="280" t="str">
        <f t="shared" si="0"/>
        <v>Estudos e Projetos, Planos e Gerenciamento e outros correlatos-</v>
      </c>
      <c r="E44" s="284" t="s">
        <v>1016</v>
      </c>
      <c r="F44" s="284" t="s">
        <v>1016</v>
      </c>
      <c r="G44" s="284" t="s">
        <v>1016</v>
      </c>
    </row>
    <row r="45" spans="1:18" ht="13.2" hidden="1">
      <c r="A45" s="280" t="str">
        <f>A44</f>
        <v>Estudos e Projetos, Planos e Gerenciamento e outros correlatos</v>
      </c>
      <c r="B45" s="283" t="s">
        <v>1043</v>
      </c>
      <c r="C45" s="280" t="str">
        <f t="shared" si="0"/>
        <v>Estudos e Projetos, Planos e Gerenciamento e outros correlatos-</v>
      </c>
      <c r="E45" s="284" t="s">
        <v>1016</v>
      </c>
      <c r="F45" s="284" t="s">
        <v>1016</v>
      </c>
      <c r="G45" s="284" t="s">
        <v>1016</v>
      </c>
    </row>
    <row r="46" spans="1:18" ht="13.2" hidden="1">
      <c r="A46" s="280" t="str">
        <f>A45</f>
        <v>Estudos e Projetos, Planos e Gerenciamento e outros correlatos</v>
      </c>
      <c r="B46" s="283" t="s">
        <v>1044</v>
      </c>
      <c r="C46" s="280" t="str">
        <f t="shared" si="0"/>
        <v>Estudos e Projetos, Planos e Gerenciamento e outros correlatos-K3</v>
      </c>
      <c r="E46" s="284" t="s">
        <v>1016</v>
      </c>
      <c r="F46" s="284">
        <v>0.12</v>
      </c>
      <c r="G46" s="284" t="s">
        <v>1016</v>
      </c>
    </row>
    <row r="47" spans="1:18" ht="13.2" hidden="1">
      <c r="A47" s="280" t="str">
        <f>A46</f>
        <v>Estudos e Projetos, Planos e Gerenciamento e outros correlatos</v>
      </c>
      <c r="B47" s="288" t="s">
        <v>998</v>
      </c>
      <c r="C47" s="280" t="str">
        <f t="shared" si="0"/>
        <v>Estudos e Projetos, Planos e Gerenciamento e outros correlatos-BDI PAD</v>
      </c>
      <c r="E47" s="284" t="s">
        <v>1016</v>
      </c>
      <c r="F47" s="284" t="s">
        <v>1016</v>
      </c>
      <c r="G47" s="284" t="s">
        <v>1016</v>
      </c>
    </row>
    <row r="48" spans="1:18" ht="13.2" hidden="1"/>
    <row r="49" spans="1:7" ht="13.2" hidden="1"/>
    <row r="50" spans="1:7" ht="13.2" hidden="1">
      <c r="A50" s="280" t="s">
        <v>988</v>
      </c>
    </row>
    <row r="51" spans="1:7" ht="13.2" hidden="1">
      <c r="A51" s="280" t="s">
        <v>1000</v>
      </c>
    </row>
    <row r="52" spans="1:7" ht="13.2" hidden="1">
      <c r="A52" s="280" t="s">
        <v>1006</v>
      </c>
    </row>
    <row r="53" spans="1:7" ht="13.2" hidden="1">
      <c r="A53" s="280" t="s">
        <v>1017</v>
      </c>
    </row>
    <row r="54" spans="1:7" ht="13.2" hidden="1">
      <c r="A54" s="280" t="s">
        <v>1025</v>
      </c>
    </row>
    <row r="55" spans="1:7" ht="13.2" hidden="1">
      <c r="A55" s="280" t="s">
        <v>1030</v>
      </c>
    </row>
    <row r="56" spans="1:7" ht="13.2" hidden="1">
      <c r="A56" s="280" t="s">
        <v>1037</v>
      </c>
    </row>
    <row r="57" spans="1:7" ht="13.8" hidden="1">
      <c r="A57" s="308"/>
      <c r="B57" s="307"/>
      <c r="C57" s="307"/>
      <c r="D57" s="307"/>
      <c r="E57" s="307"/>
      <c r="F57" s="307"/>
      <c r="G57" s="307"/>
    </row>
    <row r="58" spans="1:7" ht="12.75" customHeight="1"/>
    <row r="59" spans="1:7" ht="12.75" customHeight="1"/>
  </sheetData>
  <sheetProtection password="E005" sheet="1"/>
  <protectedRanges>
    <protectedRange sqref="I5 K5 Q13:R14 N18:N23 I37 J41:L43 P37 P41:R42 I8 Q11" name="Intervalo1"/>
  </protectedRanges>
  <mergeCells count="50">
    <mergeCell ref="Q1:R1"/>
    <mergeCell ref="Q2:R2"/>
    <mergeCell ref="I4:J4"/>
    <mergeCell ref="K4:R4"/>
    <mergeCell ref="I5:J5"/>
    <mergeCell ref="K5:R5"/>
    <mergeCell ref="I7:R7"/>
    <mergeCell ref="I8:R8"/>
    <mergeCell ref="I10:P10"/>
    <mergeCell ref="Q10:R10"/>
    <mergeCell ref="I11:P11"/>
    <mergeCell ref="Q11:R11"/>
    <mergeCell ref="I13:P13"/>
    <mergeCell ref="Q13:R13"/>
    <mergeCell ref="I14:P14"/>
    <mergeCell ref="Q14:R14"/>
    <mergeCell ref="I16:L17"/>
    <mergeCell ref="M16:M17"/>
    <mergeCell ref="N16:N17"/>
    <mergeCell ref="O16:O17"/>
    <mergeCell ref="P16:R16"/>
    <mergeCell ref="P27:R27"/>
    <mergeCell ref="I29:R29"/>
    <mergeCell ref="I18:L18"/>
    <mergeCell ref="I19:L19"/>
    <mergeCell ref="I20:L20"/>
    <mergeCell ref="I21:L21"/>
    <mergeCell ref="I22:L22"/>
    <mergeCell ref="I23:L23"/>
    <mergeCell ref="I24:L24"/>
    <mergeCell ref="I25:L25"/>
    <mergeCell ref="I26:L26"/>
    <mergeCell ref="I27:L27"/>
    <mergeCell ref="L30:L31"/>
    <mergeCell ref="M30:O30"/>
    <mergeCell ref="P30:P31"/>
    <mergeCell ref="M31:O31"/>
    <mergeCell ref="I33:R33"/>
    <mergeCell ref="I37:L37"/>
    <mergeCell ref="P37:R37"/>
    <mergeCell ref="I36:L36"/>
    <mergeCell ref="J42:L42"/>
    <mergeCell ref="P42:R42"/>
    <mergeCell ref="J43:L43"/>
    <mergeCell ref="I39:L39"/>
    <mergeCell ref="O39:R39"/>
    <mergeCell ref="I40:L40"/>
    <mergeCell ref="O40:R40"/>
    <mergeCell ref="J41:L41"/>
    <mergeCell ref="P41:R41"/>
  </mergeCells>
  <conditionalFormatting sqref="O18:O27">
    <cfRule type="cellIs" dxfId="7" priority="4" stopIfTrue="1" operator="equal">
      <formula>"NÃO OK"</formula>
    </cfRule>
    <cfRule type="cellIs" dxfId="6" priority="5" stopIfTrue="1" operator="equal">
      <formula>"OK"</formula>
    </cfRule>
  </conditionalFormatting>
  <conditionalFormatting sqref="I26:N26">
    <cfRule type="expression" dxfId="5" priority="3" stopIfTrue="1">
      <formula>$Q$11="Não"</formula>
    </cfRule>
  </conditionalFormatting>
  <conditionalFormatting sqref="I27:N27">
    <cfRule type="expression" dxfId="4" priority="2" stopIfTrue="1">
      <formula>$Q$11="sim"</formula>
    </cfRule>
  </conditionalFormatting>
  <conditionalFormatting sqref="P27:R27">
    <cfRule type="expression" dxfId="3" priority="1" stopIfTrue="1">
      <formula>$Q$11="sim"</formula>
    </cfRule>
  </conditionalFormatting>
  <conditionalFormatting sqref="I14:P14">
    <cfRule type="expression" dxfId="2" priority="6" stopIfTrue="1">
      <formula>$I$11=$A$55</formula>
    </cfRule>
  </conditionalFormatting>
  <conditionalFormatting sqref="I13:P13 I33:R33">
    <cfRule type="expression" dxfId="1" priority="7" stopIfTrue="1">
      <formula>$I$11=$A$55</formula>
    </cfRule>
  </conditionalFormatting>
  <conditionalFormatting sqref="I5:R5 I11:R11 Q13:R14 N18:N23 I37:L37 P37:R37 J41:L43 P41:R42 I8">
    <cfRule type="cellIs" dxfId="0" priority="8" stopIfTrue="1" operator="notEqual">
      <formula>""</formula>
    </cfRule>
  </conditionalFormatting>
  <dataValidations count="7">
    <dataValidation type="list" allowBlank="1" showInputMessage="1" showErrorMessage="1" sqref="Q11:R11 JM11:JN11 TI11:TJ11 ADE11:ADF11 ANA11:ANB11 AWW11:AWX11 BGS11:BGT11 BQO11:BQP11 CAK11:CAL11 CKG11:CKH11 CUC11:CUD11 DDY11:DDZ11 DNU11:DNV11 DXQ11:DXR11 EHM11:EHN11 ERI11:ERJ11 FBE11:FBF11 FLA11:FLB11 FUW11:FUX11 GES11:GET11 GOO11:GOP11 GYK11:GYL11 HIG11:HIH11 HSC11:HSD11 IBY11:IBZ11 ILU11:ILV11 IVQ11:IVR11 JFM11:JFN11 JPI11:JPJ11 JZE11:JZF11 KJA11:KJB11 KSW11:KSX11 LCS11:LCT11 LMO11:LMP11 LWK11:LWL11 MGG11:MGH11 MQC11:MQD11 MZY11:MZZ11 NJU11:NJV11 NTQ11:NTR11 ODM11:ODN11 ONI11:ONJ11 OXE11:OXF11 PHA11:PHB11 PQW11:PQX11 QAS11:QAT11 QKO11:QKP11 QUK11:QUL11 REG11:REH11 ROC11:ROD11 RXY11:RXZ11 SHU11:SHV11 SRQ11:SRR11 TBM11:TBN11 TLI11:TLJ11 TVE11:TVF11 UFA11:UFB11 UOW11:UOX11 UYS11:UYT11 VIO11:VIP11 VSK11:VSL11 WCG11:WCH11 WMC11:WMD11 WVY11:WVZ11 Q65547:R65547 JM65547:JN65547 TI65547:TJ65547 ADE65547:ADF65547 ANA65547:ANB65547 AWW65547:AWX65547 BGS65547:BGT65547 BQO65547:BQP65547 CAK65547:CAL65547 CKG65547:CKH65547 CUC65547:CUD65547 DDY65547:DDZ65547 DNU65547:DNV65547 DXQ65547:DXR65547 EHM65547:EHN65547 ERI65547:ERJ65547 FBE65547:FBF65547 FLA65547:FLB65547 FUW65547:FUX65547 GES65547:GET65547 GOO65547:GOP65547 GYK65547:GYL65547 HIG65547:HIH65547 HSC65547:HSD65547 IBY65547:IBZ65547 ILU65547:ILV65547 IVQ65547:IVR65547 JFM65547:JFN65547 JPI65547:JPJ65547 JZE65547:JZF65547 KJA65547:KJB65547 KSW65547:KSX65547 LCS65547:LCT65547 LMO65547:LMP65547 LWK65547:LWL65547 MGG65547:MGH65547 MQC65547:MQD65547 MZY65547:MZZ65547 NJU65547:NJV65547 NTQ65547:NTR65547 ODM65547:ODN65547 ONI65547:ONJ65547 OXE65547:OXF65547 PHA65547:PHB65547 PQW65547:PQX65547 QAS65547:QAT65547 QKO65547:QKP65547 QUK65547:QUL65547 REG65547:REH65547 ROC65547:ROD65547 RXY65547:RXZ65547 SHU65547:SHV65547 SRQ65547:SRR65547 TBM65547:TBN65547 TLI65547:TLJ65547 TVE65547:TVF65547 UFA65547:UFB65547 UOW65547:UOX65547 UYS65547:UYT65547 VIO65547:VIP65547 VSK65547:VSL65547 WCG65547:WCH65547 WMC65547:WMD65547 WVY65547:WVZ65547 Q131083:R131083 JM131083:JN131083 TI131083:TJ131083 ADE131083:ADF131083 ANA131083:ANB131083 AWW131083:AWX131083 BGS131083:BGT131083 BQO131083:BQP131083 CAK131083:CAL131083 CKG131083:CKH131083 CUC131083:CUD131083 DDY131083:DDZ131083 DNU131083:DNV131083 DXQ131083:DXR131083 EHM131083:EHN131083 ERI131083:ERJ131083 FBE131083:FBF131083 FLA131083:FLB131083 FUW131083:FUX131083 GES131083:GET131083 GOO131083:GOP131083 GYK131083:GYL131083 HIG131083:HIH131083 HSC131083:HSD131083 IBY131083:IBZ131083 ILU131083:ILV131083 IVQ131083:IVR131083 JFM131083:JFN131083 JPI131083:JPJ131083 JZE131083:JZF131083 KJA131083:KJB131083 KSW131083:KSX131083 LCS131083:LCT131083 LMO131083:LMP131083 LWK131083:LWL131083 MGG131083:MGH131083 MQC131083:MQD131083 MZY131083:MZZ131083 NJU131083:NJV131083 NTQ131083:NTR131083 ODM131083:ODN131083 ONI131083:ONJ131083 OXE131083:OXF131083 PHA131083:PHB131083 PQW131083:PQX131083 QAS131083:QAT131083 QKO131083:QKP131083 QUK131083:QUL131083 REG131083:REH131083 ROC131083:ROD131083 RXY131083:RXZ131083 SHU131083:SHV131083 SRQ131083:SRR131083 TBM131083:TBN131083 TLI131083:TLJ131083 TVE131083:TVF131083 UFA131083:UFB131083 UOW131083:UOX131083 UYS131083:UYT131083 VIO131083:VIP131083 VSK131083:VSL131083 WCG131083:WCH131083 WMC131083:WMD131083 WVY131083:WVZ131083 Q196619:R196619 JM196619:JN196619 TI196619:TJ196619 ADE196619:ADF196619 ANA196619:ANB196619 AWW196619:AWX196619 BGS196619:BGT196619 BQO196619:BQP196619 CAK196619:CAL196619 CKG196619:CKH196619 CUC196619:CUD196619 DDY196619:DDZ196619 DNU196619:DNV196619 DXQ196619:DXR196619 EHM196619:EHN196619 ERI196619:ERJ196619 FBE196619:FBF196619 FLA196619:FLB196619 FUW196619:FUX196619 GES196619:GET196619 GOO196619:GOP196619 GYK196619:GYL196619 HIG196619:HIH196619 HSC196619:HSD196619 IBY196619:IBZ196619 ILU196619:ILV196619 IVQ196619:IVR196619 JFM196619:JFN196619 JPI196619:JPJ196619 JZE196619:JZF196619 KJA196619:KJB196619 KSW196619:KSX196619 LCS196619:LCT196619 LMO196619:LMP196619 LWK196619:LWL196619 MGG196619:MGH196619 MQC196619:MQD196619 MZY196619:MZZ196619 NJU196619:NJV196619 NTQ196619:NTR196619 ODM196619:ODN196619 ONI196619:ONJ196619 OXE196619:OXF196619 PHA196619:PHB196619 PQW196619:PQX196619 QAS196619:QAT196619 QKO196619:QKP196619 QUK196619:QUL196619 REG196619:REH196619 ROC196619:ROD196619 RXY196619:RXZ196619 SHU196619:SHV196619 SRQ196619:SRR196619 TBM196619:TBN196619 TLI196619:TLJ196619 TVE196619:TVF196619 UFA196619:UFB196619 UOW196619:UOX196619 UYS196619:UYT196619 VIO196619:VIP196619 VSK196619:VSL196619 WCG196619:WCH196619 WMC196619:WMD196619 WVY196619:WVZ196619 Q262155:R262155 JM262155:JN262155 TI262155:TJ262155 ADE262155:ADF262155 ANA262155:ANB262155 AWW262155:AWX262155 BGS262155:BGT262155 BQO262155:BQP262155 CAK262155:CAL262155 CKG262155:CKH262155 CUC262155:CUD262155 DDY262155:DDZ262155 DNU262155:DNV262155 DXQ262155:DXR262155 EHM262155:EHN262155 ERI262155:ERJ262155 FBE262155:FBF262155 FLA262155:FLB262155 FUW262155:FUX262155 GES262155:GET262155 GOO262155:GOP262155 GYK262155:GYL262155 HIG262155:HIH262155 HSC262155:HSD262155 IBY262155:IBZ262155 ILU262155:ILV262155 IVQ262155:IVR262155 JFM262155:JFN262155 JPI262155:JPJ262155 JZE262155:JZF262155 KJA262155:KJB262155 KSW262155:KSX262155 LCS262155:LCT262155 LMO262155:LMP262155 LWK262155:LWL262155 MGG262155:MGH262155 MQC262155:MQD262155 MZY262155:MZZ262155 NJU262155:NJV262155 NTQ262155:NTR262155 ODM262155:ODN262155 ONI262155:ONJ262155 OXE262155:OXF262155 PHA262155:PHB262155 PQW262155:PQX262155 QAS262155:QAT262155 QKO262155:QKP262155 QUK262155:QUL262155 REG262155:REH262155 ROC262155:ROD262155 RXY262155:RXZ262155 SHU262155:SHV262155 SRQ262155:SRR262155 TBM262155:TBN262155 TLI262155:TLJ262155 TVE262155:TVF262155 UFA262155:UFB262155 UOW262155:UOX262155 UYS262155:UYT262155 VIO262155:VIP262155 VSK262155:VSL262155 WCG262155:WCH262155 WMC262155:WMD262155 WVY262155:WVZ262155 Q327691:R327691 JM327691:JN327691 TI327691:TJ327691 ADE327691:ADF327691 ANA327691:ANB327691 AWW327691:AWX327691 BGS327691:BGT327691 BQO327691:BQP327691 CAK327691:CAL327691 CKG327691:CKH327691 CUC327691:CUD327691 DDY327691:DDZ327691 DNU327691:DNV327691 DXQ327691:DXR327691 EHM327691:EHN327691 ERI327691:ERJ327691 FBE327691:FBF327691 FLA327691:FLB327691 FUW327691:FUX327691 GES327691:GET327691 GOO327691:GOP327691 GYK327691:GYL327691 HIG327691:HIH327691 HSC327691:HSD327691 IBY327691:IBZ327691 ILU327691:ILV327691 IVQ327691:IVR327691 JFM327691:JFN327691 JPI327691:JPJ327691 JZE327691:JZF327691 KJA327691:KJB327691 KSW327691:KSX327691 LCS327691:LCT327691 LMO327691:LMP327691 LWK327691:LWL327691 MGG327691:MGH327691 MQC327691:MQD327691 MZY327691:MZZ327691 NJU327691:NJV327691 NTQ327691:NTR327691 ODM327691:ODN327691 ONI327691:ONJ327691 OXE327691:OXF327691 PHA327691:PHB327691 PQW327691:PQX327691 QAS327691:QAT327691 QKO327691:QKP327691 QUK327691:QUL327691 REG327691:REH327691 ROC327691:ROD327691 RXY327691:RXZ327691 SHU327691:SHV327691 SRQ327691:SRR327691 TBM327691:TBN327691 TLI327691:TLJ327691 TVE327691:TVF327691 UFA327691:UFB327691 UOW327691:UOX327691 UYS327691:UYT327691 VIO327691:VIP327691 VSK327691:VSL327691 WCG327691:WCH327691 WMC327691:WMD327691 WVY327691:WVZ327691 Q393227:R393227 JM393227:JN393227 TI393227:TJ393227 ADE393227:ADF393227 ANA393227:ANB393227 AWW393227:AWX393227 BGS393227:BGT393227 BQO393227:BQP393227 CAK393227:CAL393227 CKG393227:CKH393227 CUC393227:CUD393227 DDY393227:DDZ393227 DNU393227:DNV393227 DXQ393227:DXR393227 EHM393227:EHN393227 ERI393227:ERJ393227 FBE393227:FBF393227 FLA393227:FLB393227 FUW393227:FUX393227 GES393227:GET393227 GOO393227:GOP393227 GYK393227:GYL393227 HIG393227:HIH393227 HSC393227:HSD393227 IBY393227:IBZ393227 ILU393227:ILV393227 IVQ393227:IVR393227 JFM393227:JFN393227 JPI393227:JPJ393227 JZE393227:JZF393227 KJA393227:KJB393227 KSW393227:KSX393227 LCS393227:LCT393227 LMO393227:LMP393227 LWK393227:LWL393227 MGG393227:MGH393227 MQC393227:MQD393227 MZY393227:MZZ393227 NJU393227:NJV393227 NTQ393227:NTR393227 ODM393227:ODN393227 ONI393227:ONJ393227 OXE393227:OXF393227 PHA393227:PHB393227 PQW393227:PQX393227 QAS393227:QAT393227 QKO393227:QKP393227 QUK393227:QUL393227 REG393227:REH393227 ROC393227:ROD393227 RXY393227:RXZ393227 SHU393227:SHV393227 SRQ393227:SRR393227 TBM393227:TBN393227 TLI393227:TLJ393227 TVE393227:TVF393227 UFA393227:UFB393227 UOW393227:UOX393227 UYS393227:UYT393227 VIO393227:VIP393227 VSK393227:VSL393227 WCG393227:WCH393227 WMC393227:WMD393227 WVY393227:WVZ393227 Q458763:R458763 JM458763:JN458763 TI458763:TJ458763 ADE458763:ADF458763 ANA458763:ANB458763 AWW458763:AWX458763 BGS458763:BGT458763 BQO458763:BQP458763 CAK458763:CAL458763 CKG458763:CKH458763 CUC458763:CUD458763 DDY458763:DDZ458763 DNU458763:DNV458763 DXQ458763:DXR458763 EHM458763:EHN458763 ERI458763:ERJ458763 FBE458763:FBF458763 FLA458763:FLB458763 FUW458763:FUX458763 GES458763:GET458763 GOO458763:GOP458763 GYK458763:GYL458763 HIG458763:HIH458763 HSC458763:HSD458763 IBY458763:IBZ458763 ILU458763:ILV458763 IVQ458763:IVR458763 JFM458763:JFN458763 JPI458763:JPJ458763 JZE458763:JZF458763 KJA458763:KJB458763 KSW458763:KSX458763 LCS458763:LCT458763 LMO458763:LMP458763 LWK458763:LWL458763 MGG458763:MGH458763 MQC458763:MQD458763 MZY458763:MZZ458763 NJU458763:NJV458763 NTQ458763:NTR458763 ODM458763:ODN458763 ONI458763:ONJ458763 OXE458763:OXF458763 PHA458763:PHB458763 PQW458763:PQX458763 QAS458763:QAT458763 QKO458763:QKP458763 QUK458763:QUL458763 REG458763:REH458763 ROC458763:ROD458763 RXY458763:RXZ458763 SHU458763:SHV458763 SRQ458763:SRR458763 TBM458763:TBN458763 TLI458763:TLJ458763 TVE458763:TVF458763 UFA458763:UFB458763 UOW458763:UOX458763 UYS458763:UYT458763 VIO458763:VIP458763 VSK458763:VSL458763 WCG458763:WCH458763 WMC458763:WMD458763 WVY458763:WVZ458763 Q524299:R524299 JM524299:JN524299 TI524299:TJ524299 ADE524299:ADF524299 ANA524299:ANB524299 AWW524299:AWX524299 BGS524299:BGT524299 BQO524299:BQP524299 CAK524299:CAL524299 CKG524299:CKH524299 CUC524299:CUD524299 DDY524299:DDZ524299 DNU524299:DNV524299 DXQ524299:DXR524299 EHM524299:EHN524299 ERI524299:ERJ524299 FBE524299:FBF524299 FLA524299:FLB524299 FUW524299:FUX524299 GES524299:GET524299 GOO524299:GOP524299 GYK524299:GYL524299 HIG524299:HIH524299 HSC524299:HSD524299 IBY524299:IBZ524299 ILU524299:ILV524299 IVQ524299:IVR524299 JFM524299:JFN524299 JPI524299:JPJ524299 JZE524299:JZF524299 KJA524299:KJB524299 KSW524299:KSX524299 LCS524299:LCT524299 LMO524299:LMP524299 LWK524299:LWL524299 MGG524299:MGH524299 MQC524299:MQD524299 MZY524299:MZZ524299 NJU524299:NJV524299 NTQ524299:NTR524299 ODM524299:ODN524299 ONI524299:ONJ524299 OXE524299:OXF524299 PHA524299:PHB524299 PQW524299:PQX524299 QAS524299:QAT524299 QKO524299:QKP524299 QUK524299:QUL524299 REG524299:REH524299 ROC524299:ROD524299 RXY524299:RXZ524299 SHU524299:SHV524299 SRQ524299:SRR524299 TBM524299:TBN524299 TLI524299:TLJ524299 TVE524299:TVF524299 UFA524299:UFB524299 UOW524299:UOX524299 UYS524299:UYT524299 VIO524299:VIP524299 VSK524299:VSL524299 WCG524299:WCH524299 WMC524299:WMD524299 WVY524299:WVZ524299 Q589835:R589835 JM589835:JN589835 TI589835:TJ589835 ADE589835:ADF589835 ANA589835:ANB589835 AWW589835:AWX589835 BGS589835:BGT589835 BQO589835:BQP589835 CAK589835:CAL589835 CKG589835:CKH589835 CUC589835:CUD589835 DDY589835:DDZ589835 DNU589835:DNV589835 DXQ589835:DXR589835 EHM589835:EHN589835 ERI589835:ERJ589835 FBE589835:FBF589835 FLA589835:FLB589835 FUW589835:FUX589835 GES589835:GET589835 GOO589835:GOP589835 GYK589835:GYL589835 HIG589835:HIH589835 HSC589835:HSD589835 IBY589835:IBZ589835 ILU589835:ILV589835 IVQ589835:IVR589835 JFM589835:JFN589835 JPI589835:JPJ589835 JZE589835:JZF589835 KJA589835:KJB589835 KSW589835:KSX589835 LCS589835:LCT589835 LMO589835:LMP589835 LWK589835:LWL589835 MGG589835:MGH589835 MQC589835:MQD589835 MZY589835:MZZ589835 NJU589835:NJV589835 NTQ589835:NTR589835 ODM589835:ODN589835 ONI589835:ONJ589835 OXE589835:OXF589835 PHA589835:PHB589835 PQW589835:PQX589835 QAS589835:QAT589835 QKO589835:QKP589835 QUK589835:QUL589835 REG589835:REH589835 ROC589835:ROD589835 RXY589835:RXZ589835 SHU589835:SHV589835 SRQ589835:SRR589835 TBM589835:TBN589835 TLI589835:TLJ589835 TVE589835:TVF589835 UFA589835:UFB589835 UOW589835:UOX589835 UYS589835:UYT589835 VIO589835:VIP589835 VSK589835:VSL589835 WCG589835:WCH589835 WMC589835:WMD589835 WVY589835:WVZ589835 Q655371:R655371 JM655371:JN655371 TI655371:TJ655371 ADE655371:ADF655371 ANA655371:ANB655371 AWW655371:AWX655371 BGS655371:BGT655371 BQO655371:BQP655371 CAK655371:CAL655371 CKG655371:CKH655371 CUC655371:CUD655371 DDY655371:DDZ655371 DNU655371:DNV655371 DXQ655371:DXR655371 EHM655371:EHN655371 ERI655371:ERJ655371 FBE655371:FBF655371 FLA655371:FLB655371 FUW655371:FUX655371 GES655371:GET655371 GOO655371:GOP655371 GYK655371:GYL655371 HIG655371:HIH655371 HSC655371:HSD655371 IBY655371:IBZ655371 ILU655371:ILV655371 IVQ655371:IVR655371 JFM655371:JFN655371 JPI655371:JPJ655371 JZE655371:JZF655371 KJA655371:KJB655371 KSW655371:KSX655371 LCS655371:LCT655371 LMO655371:LMP655371 LWK655371:LWL655371 MGG655371:MGH655371 MQC655371:MQD655371 MZY655371:MZZ655371 NJU655371:NJV655371 NTQ655371:NTR655371 ODM655371:ODN655371 ONI655371:ONJ655371 OXE655371:OXF655371 PHA655371:PHB655371 PQW655371:PQX655371 QAS655371:QAT655371 QKO655371:QKP655371 QUK655371:QUL655371 REG655371:REH655371 ROC655371:ROD655371 RXY655371:RXZ655371 SHU655371:SHV655371 SRQ655371:SRR655371 TBM655371:TBN655371 TLI655371:TLJ655371 TVE655371:TVF655371 UFA655371:UFB655371 UOW655371:UOX655371 UYS655371:UYT655371 VIO655371:VIP655371 VSK655371:VSL655371 WCG655371:WCH655371 WMC655371:WMD655371 WVY655371:WVZ655371 Q720907:R720907 JM720907:JN720907 TI720907:TJ720907 ADE720907:ADF720907 ANA720907:ANB720907 AWW720907:AWX720907 BGS720907:BGT720907 BQO720907:BQP720907 CAK720907:CAL720907 CKG720907:CKH720907 CUC720907:CUD720907 DDY720907:DDZ720907 DNU720907:DNV720907 DXQ720907:DXR720907 EHM720907:EHN720907 ERI720907:ERJ720907 FBE720907:FBF720907 FLA720907:FLB720907 FUW720907:FUX720907 GES720907:GET720907 GOO720907:GOP720907 GYK720907:GYL720907 HIG720907:HIH720907 HSC720907:HSD720907 IBY720907:IBZ720907 ILU720907:ILV720907 IVQ720907:IVR720907 JFM720907:JFN720907 JPI720907:JPJ720907 JZE720907:JZF720907 KJA720907:KJB720907 KSW720907:KSX720907 LCS720907:LCT720907 LMO720907:LMP720907 LWK720907:LWL720907 MGG720907:MGH720907 MQC720907:MQD720907 MZY720907:MZZ720907 NJU720907:NJV720907 NTQ720907:NTR720907 ODM720907:ODN720907 ONI720907:ONJ720907 OXE720907:OXF720907 PHA720907:PHB720907 PQW720907:PQX720907 QAS720907:QAT720907 QKO720907:QKP720907 QUK720907:QUL720907 REG720907:REH720907 ROC720907:ROD720907 RXY720907:RXZ720907 SHU720907:SHV720907 SRQ720907:SRR720907 TBM720907:TBN720907 TLI720907:TLJ720907 TVE720907:TVF720907 UFA720907:UFB720907 UOW720907:UOX720907 UYS720907:UYT720907 VIO720907:VIP720907 VSK720907:VSL720907 WCG720907:WCH720907 WMC720907:WMD720907 WVY720907:WVZ720907 Q786443:R786443 JM786443:JN786443 TI786443:TJ786443 ADE786443:ADF786443 ANA786443:ANB786443 AWW786443:AWX786443 BGS786443:BGT786443 BQO786443:BQP786443 CAK786443:CAL786443 CKG786443:CKH786443 CUC786443:CUD786443 DDY786443:DDZ786443 DNU786443:DNV786443 DXQ786443:DXR786443 EHM786443:EHN786443 ERI786443:ERJ786443 FBE786443:FBF786443 FLA786443:FLB786443 FUW786443:FUX786443 GES786443:GET786443 GOO786443:GOP786443 GYK786443:GYL786443 HIG786443:HIH786443 HSC786443:HSD786443 IBY786443:IBZ786443 ILU786443:ILV786443 IVQ786443:IVR786443 JFM786443:JFN786443 JPI786443:JPJ786443 JZE786443:JZF786443 KJA786443:KJB786443 KSW786443:KSX786443 LCS786443:LCT786443 LMO786443:LMP786443 LWK786443:LWL786443 MGG786443:MGH786443 MQC786443:MQD786443 MZY786443:MZZ786443 NJU786443:NJV786443 NTQ786443:NTR786443 ODM786443:ODN786443 ONI786443:ONJ786443 OXE786443:OXF786443 PHA786443:PHB786443 PQW786443:PQX786443 QAS786443:QAT786443 QKO786443:QKP786443 QUK786443:QUL786443 REG786443:REH786443 ROC786443:ROD786443 RXY786443:RXZ786443 SHU786443:SHV786443 SRQ786443:SRR786443 TBM786443:TBN786443 TLI786443:TLJ786443 TVE786443:TVF786443 UFA786443:UFB786443 UOW786443:UOX786443 UYS786443:UYT786443 VIO786443:VIP786443 VSK786443:VSL786443 WCG786443:WCH786443 WMC786443:WMD786443 WVY786443:WVZ786443 Q851979:R851979 JM851979:JN851979 TI851979:TJ851979 ADE851979:ADF851979 ANA851979:ANB851979 AWW851979:AWX851979 BGS851979:BGT851979 BQO851979:BQP851979 CAK851979:CAL851979 CKG851979:CKH851979 CUC851979:CUD851979 DDY851979:DDZ851979 DNU851979:DNV851979 DXQ851979:DXR851979 EHM851979:EHN851979 ERI851979:ERJ851979 FBE851979:FBF851979 FLA851979:FLB851979 FUW851979:FUX851979 GES851979:GET851979 GOO851979:GOP851979 GYK851979:GYL851979 HIG851979:HIH851979 HSC851979:HSD851979 IBY851979:IBZ851979 ILU851979:ILV851979 IVQ851979:IVR851979 JFM851979:JFN851979 JPI851979:JPJ851979 JZE851979:JZF851979 KJA851979:KJB851979 KSW851979:KSX851979 LCS851979:LCT851979 LMO851979:LMP851979 LWK851979:LWL851979 MGG851979:MGH851979 MQC851979:MQD851979 MZY851979:MZZ851979 NJU851979:NJV851979 NTQ851979:NTR851979 ODM851979:ODN851979 ONI851979:ONJ851979 OXE851979:OXF851979 PHA851979:PHB851979 PQW851979:PQX851979 QAS851979:QAT851979 QKO851979:QKP851979 QUK851979:QUL851979 REG851979:REH851979 ROC851979:ROD851979 RXY851979:RXZ851979 SHU851979:SHV851979 SRQ851979:SRR851979 TBM851979:TBN851979 TLI851979:TLJ851979 TVE851979:TVF851979 UFA851979:UFB851979 UOW851979:UOX851979 UYS851979:UYT851979 VIO851979:VIP851979 VSK851979:VSL851979 WCG851979:WCH851979 WMC851979:WMD851979 WVY851979:WVZ851979 Q917515:R917515 JM917515:JN917515 TI917515:TJ917515 ADE917515:ADF917515 ANA917515:ANB917515 AWW917515:AWX917515 BGS917515:BGT917515 BQO917515:BQP917515 CAK917515:CAL917515 CKG917515:CKH917515 CUC917515:CUD917515 DDY917515:DDZ917515 DNU917515:DNV917515 DXQ917515:DXR917515 EHM917515:EHN917515 ERI917515:ERJ917515 FBE917515:FBF917515 FLA917515:FLB917515 FUW917515:FUX917515 GES917515:GET917515 GOO917515:GOP917515 GYK917515:GYL917515 HIG917515:HIH917515 HSC917515:HSD917515 IBY917515:IBZ917515 ILU917515:ILV917515 IVQ917515:IVR917515 JFM917515:JFN917515 JPI917515:JPJ917515 JZE917515:JZF917515 KJA917515:KJB917515 KSW917515:KSX917515 LCS917515:LCT917515 LMO917515:LMP917515 LWK917515:LWL917515 MGG917515:MGH917515 MQC917515:MQD917515 MZY917515:MZZ917515 NJU917515:NJV917515 NTQ917515:NTR917515 ODM917515:ODN917515 ONI917515:ONJ917515 OXE917515:OXF917515 PHA917515:PHB917515 PQW917515:PQX917515 QAS917515:QAT917515 QKO917515:QKP917515 QUK917515:QUL917515 REG917515:REH917515 ROC917515:ROD917515 RXY917515:RXZ917515 SHU917515:SHV917515 SRQ917515:SRR917515 TBM917515:TBN917515 TLI917515:TLJ917515 TVE917515:TVF917515 UFA917515:UFB917515 UOW917515:UOX917515 UYS917515:UYT917515 VIO917515:VIP917515 VSK917515:VSL917515 WCG917515:WCH917515 WMC917515:WMD917515 WVY917515:WVZ917515 Q983051:R983051 JM983051:JN983051 TI983051:TJ983051 ADE983051:ADF983051 ANA983051:ANB983051 AWW983051:AWX983051 BGS983051:BGT983051 BQO983051:BQP983051 CAK983051:CAL983051 CKG983051:CKH983051 CUC983051:CUD983051 DDY983051:DDZ983051 DNU983051:DNV983051 DXQ983051:DXR983051 EHM983051:EHN983051 ERI983051:ERJ983051 FBE983051:FBF983051 FLA983051:FLB983051 FUW983051:FUX983051 GES983051:GET983051 GOO983051:GOP983051 GYK983051:GYL983051 HIG983051:HIH983051 HSC983051:HSD983051 IBY983051:IBZ983051 ILU983051:ILV983051 IVQ983051:IVR983051 JFM983051:JFN983051 JPI983051:JPJ983051 JZE983051:JZF983051 KJA983051:KJB983051 KSW983051:KSX983051 LCS983051:LCT983051 LMO983051:LMP983051 LWK983051:LWL983051 MGG983051:MGH983051 MQC983051:MQD983051 MZY983051:MZZ983051 NJU983051:NJV983051 NTQ983051:NTR983051 ODM983051:ODN983051 ONI983051:ONJ983051 OXE983051:OXF983051 PHA983051:PHB983051 PQW983051:PQX983051 QAS983051:QAT983051 QKO983051:QKP983051 QUK983051:QUL983051 REG983051:REH983051 ROC983051:ROD983051 RXY983051:RXZ983051 SHU983051:SHV983051 SRQ983051:SRR983051 TBM983051:TBN983051 TLI983051:TLJ983051 TVE983051:TVF983051 UFA983051:UFB983051 UOW983051:UOX983051 UYS983051:UYT983051 VIO983051:VIP983051 VSK983051:VSL983051 WCG983051:WCH983051 WMC983051:WMD983051 WVY983051:WVZ983051" xr:uid="{00000000-0002-0000-0300-000000000000}">
      <formula1>"Sim,Não"</formula1>
    </dataValidation>
    <dataValidation type="list" allowBlank="1" showInputMessage="1" showErrorMessage="1" sqref="I11:P11 JE11:JL11 TA11:TH11 ACW11:ADD11 AMS11:AMZ11 AWO11:AWV11 BGK11:BGR11 BQG11:BQN11 CAC11:CAJ11 CJY11:CKF11 CTU11:CUB11 DDQ11:DDX11 DNM11:DNT11 DXI11:DXP11 EHE11:EHL11 ERA11:ERH11 FAW11:FBD11 FKS11:FKZ11 FUO11:FUV11 GEK11:GER11 GOG11:GON11 GYC11:GYJ11 HHY11:HIF11 HRU11:HSB11 IBQ11:IBX11 ILM11:ILT11 IVI11:IVP11 JFE11:JFL11 JPA11:JPH11 JYW11:JZD11 KIS11:KIZ11 KSO11:KSV11 LCK11:LCR11 LMG11:LMN11 LWC11:LWJ11 MFY11:MGF11 MPU11:MQB11 MZQ11:MZX11 NJM11:NJT11 NTI11:NTP11 ODE11:ODL11 ONA11:ONH11 OWW11:OXD11 PGS11:PGZ11 PQO11:PQV11 QAK11:QAR11 QKG11:QKN11 QUC11:QUJ11 RDY11:REF11 RNU11:ROB11 RXQ11:RXX11 SHM11:SHT11 SRI11:SRP11 TBE11:TBL11 TLA11:TLH11 TUW11:TVD11 UES11:UEZ11 UOO11:UOV11 UYK11:UYR11 VIG11:VIN11 VSC11:VSJ11 WBY11:WCF11 WLU11:WMB11 WVQ11:WVX11 I65547:P65547 JE65547:JL65547 TA65547:TH65547 ACW65547:ADD65547 AMS65547:AMZ65547 AWO65547:AWV65547 BGK65547:BGR65547 BQG65547:BQN65547 CAC65547:CAJ65547 CJY65547:CKF65547 CTU65547:CUB65547 DDQ65547:DDX65547 DNM65547:DNT65547 DXI65547:DXP65547 EHE65547:EHL65547 ERA65547:ERH65547 FAW65547:FBD65547 FKS65547:FKZ65547 FUO65547:FUV65547 GEK65547:GER65547 GOG65547:GON65547 GYC65547:GYJ65547 HHY65547:HIF65547 HRU65547:HSB65547 IBQ65547:IBX65547 ILM65547:ILT65547 IVI65547:IVP65547 JFE65547:JFL65547 JPA65547:JPH65547 JYW65547:JZD65547 KIS65547:KIZ65547 KSO65547:KSV65547 LCK65547:LCR65547 LMG65547:LMN65547 LWC65547:LWJ65547 MFY65547:MGF65547 MPU65547:MQB65547 MZQ65547:MZX65547 NJM65547:NJT65547 NTI65547:NTP65547 ODE65547:ODL65547 ONA65547:ONH65547 OWW65547:OXD65547 PGS65547:PGZ65547 PQO65547:PQV65547 QAK65547:QAR65547 QKG65547:QKN65547 QUC65547:QUJ65547 RDY65547:REF65547 RNU65547:ROB65547 RXQ65547:RXX65547 SHM65547:SHT65547 SRI65547:SRP65547 TBE65547:TBL65547 TLA65547:TLH65547 TUW65547:TVD65547 UES65547:UEZ65547 UOO65547:UOV65547 UYK65547:UYR65547 VIG65547:VIN65547 VSC65547:VSJ65547 WBY65547:WCF65547 WLU65547:WMB65547 WVQ65547:WVX65547 I131083:P131083 JE131083:JL131083 TA131083:TH131083 ACW131083:ADD131083 AMS131083:AMZ131083 AWO131083:AWV131083 BGK131083:BGR131083 BQG131083:BQN131083 CAC131083:CAJ131083 CJY131083:CKF131083 CTU131083:CUB131083 DDQ131083:DDX131083 DNM131083:DNT131083 DXI131083:DXP131083 EHE131083:EHL131083 ERA131083:ERH131083 FAW131083:FBD131083 FKS131083:FKZ131083 FUO131083:FUV131083 GEK131083:GER131083 GOG131083:GON131083 GYC131083:GYJ131083 HHY131083:HIF131083 HRU131083:HSB131083 IBQ131083:IBX131083 ILM131083:ILT131083 IVI131083:IVP131083 JFE131083:JFL131083 JPA131083:JPH131083 JYW131083:JZD131083 KIS131083:KIZ131083 KSO131083:KSV131083 LCK131083:LCR131083 LMG131083:LMN131083 LWC131083:LWJ131083 MFY131083:MGF131083 MPU131083:MQB131083 MZQ131083:MZX131083 NJM131083:NJT131083 NTI131083:NTP131083 ODE131083:ODL131083 ONA131083:ONH131083 OWW131083:OXD131083 PGS131083:PGZ131083 PQO131083:PQV131083 QAK131083:QAR131083 QKG131083:QKN131083 QUC131083:QUJ131083 RDY131083:REF131083 RNU131083:ROB131083 RXQ131083:RXX131083 SHM131083:SHT131083 SRI131083:SRP131083 TBE131083:TBL131083 TLA131083:TLH131083 TUW131083:TVD131083 UES131083:UEZ131083 UOO131083:UOV131083 UYK131083:UYR131083 VIG131083:VIN131083 VSC131083:VSJ131083 WBY131083:WCF131083 WLU131083:WMB131083 WVQ131083:WVX131083 I196619:P196619 JE196619:JL196619 TA196619:TH196619 ACW196619:ADD196619 AMS196619:AMZ196619 AWO196619:AWV196619 BGK196619:BGR196619 BQG196619:BQN196619 CAC196619:CAJ196619 CJY196619:CKF196619 CTU196619:CUB196619 DDQ196619:DDX196619 DNM196619:DNT196619 DXI196619:DXP196619 EHE196619:EHL196619 ERA196619:ERH196619 FAW196619:FBD196619 FKS196619:FKZ196619 FUO196619:FUV196619 GEK196619:GER196619 GOG196619:GON196619 GYC196619:GYJ196619 HHY196619:HIF196619 HRU196619:HSB196619 IBQ196619:IBX196619 ILM196619:ILT196619 IVI196619:IVP196619 JFE196619:JFL196619 JPA196619:JPH196619 JYW196619:JZD196619 KIS196619:KIZ196619 KSO196619:KSV196619 LCK196619:LCR196619 LMG196619:LMN196619 LWC196619:LWJ196619 MFY196619:MGF196619 MPU196619:MQB196619 MZQ196619:MZX196619 NJM196619:NJT196619 NTI196619:NTP196619 ODE196619:ODL196619 ONA196619:ONH196619 OWW196619:OXD196619 PGS196619:PGZ196619 PQO196619:PQV196619 QAK196619:QAR196619 QKG196619:QKN196619 QUC196619:QUJ196619 RDY196619:REF196619 RNU196619:ROB196619 RXQ196619:RXX196619 SHM196619:SHT196619 SRI196619:SRP196619 TBE196619:TBL196619 TLA196619:TLH196619 TUW196619:TVD196619 UES196619:UEZ196619 UOO196619:UOV196619 UYK196619:UYR196619 VIG196619:VIN196619 VSC196619:VSJ196619 WBY196619:WCF196619 WLU196619:WMB196619 WVQ196619:WVX196619 I262155:P262155 JE262155:JL262155 TA262155:TH262155 ACW262155:ADD262155 AMS262155:AMZ262155 AWO262155:AWV262155 BGK262155:BGR262155 BQG262155:BQN262155 CAC262155:CAJ262155 CJY262155:CKF262155 CTU262155:CUB262155 DDQ262155:DDX262155 DNM262155:DNT262155 DXI262155:DXP262155 EHE262155:EHL262155 ERA262155:ERH262155 FAW262155:FBD262155 FKS262155:FKZ262155 FUO262155:FUV262155 GEK262155:GER262155 GOG262155:GON262155 GYC262155:GYJ262155 HHY262155:HIF262155 HRU262155:HSB262155 IBQ262155:IBX262155 ILM262155:ILT262155 IVI262155:IVP262155 JFE262155:JFL262155 JPA262155:JPH262155 JYW262155:JZD262155 KIS262155:KIZ262155 KSO262155:KSV262155 LCK262155:LCR262155 LMG262155:LMN262155 LWC262155:LWJ262155 MFY262155:MGF262155 MPU262155:MQB262155 MZQ262155:MZX262155 NJM262155:NJT262155 NTI262155:NTP262155 ODE262155:ODL262155 ONA262155:ONH262155 OWW262155:OXD262155 PGS262155:PGZ262155 PQO262155:PQV262155 QAK262155:QAR262155 QKG262155:QKN262155 QUC262155:QUJ262155 RDY262155:REF262155 RNU262155:ROB262155 RXQ262155:RXX262155 SHM262155:SHT262155 SRI262155:SRP262155 TBE262155:TBL262155 TLA262155:TLH262155 TUW262155:TVD262155 UES262155:UEZ262155 UOO262155:UOV262155 UYK262155:UYR262155 VIG262155:VIN262155 VSC262155:VSJ262155 WBY262155:WCF262155 WLU262155:WMB262155 WVQ262155:WVX262155 I327691:P327691 JE327691:JL327691 TA327691:TH327691 ACW327691:ADD327691 AMS327691:AMZ327691 AWO327691:AWV327691 BGK327691:BGR327691 BQG327691:BQN327691 CAC327691:CAJ327691 CJY327691:CKF327691 CTU327691:CUB327691 DDQ327691:DDX327691 DNM327691:DNT327691 DXI327691:DXP327691 EHE327691:EHL327691 ERA327691:ERH327691 FAW327691:FBD327691 FKS327691:FKZ327691 FUO327691:FUV327691 GEK327691:GER327691 GOG327691:GON327691 GYC327691:GYJ327691 HHY327691:HIF327691 HRU327691:HSB327691 IBQ327691:IBX327691 ILM327691:ILT327691 IVI327691:IVP327691 JFE327691:JFL327691 JPA327691:JPH327691 JYW327691:JZD327691 KIS327691:KIZ327691 KSO327691:KSV327691 LCK327691:LCR327691 LMG327691:LMN327691 LWC327691:LWJ327691 MFY327691:MGF327691 MPU327691:MQB327691 MZQ327691:MZX327691 NJM327691:NJT327691 NTI327691:NTP327691 ODE327691:ODL327691 ONA327691:ONH327691 OWW327691:OXD327691 PGS327691:PGZ327691 PQO327691:PQV327691 QAK327691:QAR327691 QKG327691:QKN327691 QUC327691:QUJ327691 RDY327691:REF327691 RNU327691:ROB327691 RXQ327691:RXX327691 SHM327691:SHT327691 SRI327691:SRP327691 TBE327691:TBL327691 TLA327691:TLH327691 TUW327691:TVD327691 UES327691:UEZ327691 UOO327691:UOV327691 UYK327691:UYR327691 VIG327691:VIN327691 VSC327691:VSJ327691 WBY327691:WCF327691 WLU327691:WMB327691 WVQ327691:WVX327691 I393227:P393227 JE393227:JL393227 TA393227:TH393227 ACW393227:ADD393227 AMS393227:AMZ393227 AWO393227:AWV393227 BGK393227:BGR393227 BQG393227:BQN393227 CAC393227:CAJ393227 CJY393227:CKF393227 CTU393227:CUB393227 DDQ393227:DDX393227 DNM393227:DNT393227 DXI393227:DXP393227 EHE393227:EHL393227 ERA393227:ERH393227 FAW393227:FBD393227 FKS393227:FKZ393227 FUO393227:FUV393227 GEK393227:GER393227 GOG393227:GON393227 GYC393227:GYJ393227 HHY393227:HIF393227 HRU393227:HSB393227 IBQ393227:IBX393227 ILM393227:ILT393227 IVI393227:IVP393227 JFE393227:JFL393227 JPA393227:JPH393227 JYW393227:JZD393227 KIS393227:KIZ393227 KSO393227:KSV393227 LCK393227:LCR393227 LMG393227:LMN393227 LWC393227:LWJ393227 MFY393227:MGF393227 MPU393227:MQB393227 MZQ393227:MZX393227 NJM393227:NJT393227 NTI393227:NTP393227 ODE393227:ODL393227 ONA393227:ONH393227 OWW393227:OXD393227 PGS393227:PGZ393227 PQO393227:PQV393227 QAK393227:QAR393227 QKG393227:QKN393227 QUC393227:QUJ393227 RDY393227:REF393227 RNU393227:ROB393227 RXQ393227:RXX393227 SHM393227:SHT393227 SRI393227:SRP393227 TBE393227:TBL393227 TLA393227:TLH393227 TUW393227:TVD393227 UES393227:UEZ393227 UOO393227:UOV393227 UYK393227:UYR393227 VIG393227:VIN393227 VSC393227:VSJ393227 WBY393227:WCF393227 WLU393227:WMB393227 WVQ393227:WVX393227 I458763:P458763 JE458763:JL458763 TA458763:TH458763 ACW458763:ADD458763 AMS458763:AMZ458763 AWO458763:AWV458763 BGK458763:BGR458763 BQG458763:BQN458763 CAC458763:CAJ458763 CJY458763:CKF458763 CTU458763:CUB458763 DDQ458763:DDX458763 DNM458763:DNT458763 DXI458763:DXP458763 EHE458763:EHL458763 ERA458763:ERH458763 FAW458763:FBD458763 FKS458763:FKZ458763 FUO458763:FUV458763 GEK458763:GER458763 GOG458763:GON458763 GYC458763:GYJ458763 HHY458763:HIF458763 HRU458763:HSB458763 IBQ458763:IBX458763 ILM458763:ILT458763 IVI458763:IVP458763 JFE458763:JFL458763 JPA458763:JPH458763 JYW458763:JZD458763 KIS458763:KIZ458763 KSO458763:KSV458763 LCK458763:LCR458763 LMG458763:LMN458763 LWC458763:LWJ458763 MFY458763:MGF458763 MPU458763:MQB458763 MZQ458763:MZX458763 NJM458763:NJT458763 NTI458763:NTP458763 ODE458763:ODL458763 ONA458763:ONH458763 OWW458763:OXD458763 PGS458763:PGZ458763 PQO458763:PQV458763 QAK458763:QAR458763 QKG458763:QKN458763 QUC458763:QUJ458763 RDY458763:REF458763 RNU458763:ROB458763 RXQ458763:RXX458763 SHM458763:SHT458763 SRI458763:SRP458763 TBE458763:TBL458763 TLA458763:TLH458763 TUW458763:TVD458763 UES458763:UEZ458763 UOO458763:UOV458763 UYK458763:UYR458763 VIG458763:VIN458763 VSC458763:VSJ458763 WBY458763:WCF458763 WLU458763:WMB458763 WVQ458763:WVX458763 I524299:P524299 JE524299:JL524299 TA524299:TH524299 ACW524299:ADD524299 AMS524299:AMZ524299 AWO524299:AWV524299 BGK524299:BGR524299 BQG524299:BQN524299 CAC524299:CAJ524299 CJY524299:CKF524299 CTU524299:CUB524299 DDQ524299:DDX524299 DNM524299:DNT524299 DXI524299:DXP524299 EHE524299:EHL524299 ERA524299:ERH524299 FAW524299:FBD524299 FKS524299:FKZ524299 FUO524299:FUV524299 GEK524299:GER524299 GOG524299:GON524299 GYC524299:GYJ524299 HHY524299:HIF524299 HRU524299:HSB524299 IBQ524299:IBX524299 ILM524299:ILT524299 IVI524299:IVP524299 JFE524299:JFL524299 JPA524299:JPH524299 JYW524299:JZD524299 KIS524299:KIZ524299 KSO524299:KSV524299 LCK524299:LCR524299 LMG524299:LMN524299 LWC524299:LWJ524299 MFY524299:MGF524299 MPU524299:MQB524299 MZQ524299:MZX524299 NJM524299:NJT524299 NTI524299:NTP524299 ODE524299:ODL524299 ONA524299:ONH524299 OWW524299:OXD524299 PGS524299:PGZ524299 PQO524299:PQV524299 QAK524299:QAR524299 QKG524299:QKN524299 QUC524299:QUJ524299 RDY524299:REF524299 RNU524299:ROB524299 RXQ524299:RXX524299 SHM524299:SHT524299 SRI524299:SRP524299 TBE524299:TBL524299 TLA524299:TLH524299 TUW524299:TVD524299 UES524299:UEZ524299 UOO524299:UOV524299 UYK524299:UYR524299 VIG524299:VIN524299 VSC524299:VSJ524299 WBY524299:WCF524299 WLU524299:WMB524299 WVQ524299:WVX524299 I589835:P589835 JE589835:JL589835 TA589835:TH589835 ACW589835:ADD589835 AMS589835:AMZ589835 AWO589835:AWV589835 BGK589835:BGR589835 BQG589835:BQN589835 CAC589835:CAJ589835 CJY589835:CKF589835 CTU589835:CUB589835 DDQ589835:DDX589835 DNM589835:DNT589835 DXI589835:DXP589835 EHE589835:EHL589835 ERA589835:ERH589835 FAW589835:FBD589835 FKS589835:FKZ589835 FUO589835:FUV589835 GEK589835:GER589835 GOG589835:GON589835 GYC589835:GYJ589835 HHY589835:HIF589835 HRU589835:HSB589835 IBQ589835:IBX589835 ILM589835:ILT589835 IVI589835:IVP589835 JFE589835:JFL589835 JPA589835:JPH589835 JYW589835:JZD589835 KIS589835:KIZ589835 KSO589835:KSV589835 LCK589835:LCR589835 LMG589835:LMN589835 LWC589835:LWJ589835 MFY589835:MGF589835 MPU589835:MQB589835 MZQ589835:MZX589835 NJM589835:NJT589835 NTI589835:NTP589835 ODE589835:ODL589835 ONA589835:ONH589835 OWW589835:OXD589835 PGS589835:PGZ589835 PQO589835:PQV589835 QAK589835:QAR589835 QKG589835:QKN589835 QUC589835:QUJ589835 RDY589835:REF589835 RNU589835:ROB589835 RXQ589835:RXX589835 SHM589835:SHT589835 SRI589835:SRP589835 TBE589835:TBL589835 TLA589835:TLH589835 TUW589835:TVD589835 UES589835:UEZ589835 UOO589835:UOV589835 UYK589835:UYR589835 VIG589835:VIN589835 VSC589835:VSJ589835 WBY589835:WCF589835 WLU589835:WMB589835 WVQ589835:WVX589835 I655371:P655371 JE655371:JL655371 TA655371:TH655371 ACW655371:ADD655371 AMS655371:AMZ655371 AWO655371:AWV655371 BGK655371:BGR655371 BQG655371:BQN655371 CAC655371:CAJ655371 CJY655371:CKF655371 CTU655371:CUB655371 DDQ655371:DDX655371 DNM655371:DNT655371 DXI655371:DXP655371 EHE655371:EHL655371 ERA655371:ERH655371 FAW655371:FBD655371 FKS655371:FKZ655371 FUO655371:FUV655371 GEK655371:GER655371 GOG655371:GON655371 GYC655371:GYJ655371 HHY655371:HIF655371 HRU655371:HSB655371 IBQ655371:IBX655371 ILM655371:ILT655371 IVI655371:IVP655371 JFE655371:JFL655371 JPA655371:JPH655371 JYW655371:JZD655371 KIS655371:KIZ655371 KSO655371:KSV655371 LCK655371:LCR655371 LMG655371:LMN655371 LWC655371:LWJ655371 MFY655371:MGF655371 MPU655371:MQB655371 MZQ655371:MZX655371 NJM655371:NJT655371 NTI655371:NTP655371 ODE655371:ODL655371 ONA655371:ONH655371 OWW655371:OXD655371 PGS655371:PGZ655371 PQO655371:PQV655371 QAK655371:QAR655371 QKG655371:QKN655371 QUC655371:QUJ655371 RDY655371:REF655371 RNU655371:ROB655371 RXQ655371:RXX655371 SHM655371:SHT655371 SRI655371:SRP655371 TBE655371:TBL655371 TLA655371:TLH655371 TUW655371:TVD655371 UES655371:UEZ655371 UOO655371:UOV655371 UYK655371:UYR655371 VIG655371:VIN655371 VSC655371:VSJ655371 WBY655371:WCF655371 WLU655371:WMB655371 WVQ655371:WVX655371 I720907:P720907 JE720907:JL720907 TA720907:TH720907 ACW720907:ADD720907 AMS720907:AMZ720907 AWO720907:AWV720907 BGK720907:BGR720907 BQG720907:BQN720907 CAC720907:CAJ720907 CJY720907:CKF720907 CTU720907:CUB720907 DDQ720907:DDX720907 DNM720907:DNT720907 DXI720907:DXP720907 EHE720907:EHL720907 ERA720907:ERH720907 FAW720907:FBD720907 FKS720907:FKZ720907 FUO720907:FUV720907 GEK720907:GER720907 GOG720907:GON720907 GYC720907:GYJ720907 HHY720907:HIF720907 HRU720907:HSB720907 IBQ720907:IBX720907 ILM720907:ILT720907 IVI720907:IVP720907 JFE720907:JFL720907 JPA720907:JPH720907 JYW720907:JZD720907 KIS720907:KIZ720907 KSO720907:KSV720907 LCK720907:LCR720907 LMG720907:LMN720907 LWC720907:LWJ720907 MFY720907:MGF720907 MPU720907:MQB720907 MZQ720907:MZX720907 NJM720907:NJT720907 NTI720907:NTP720907 ODE720907:ODL720907 ONA720907:ONH720907 OWW720907:OXD720907 PGS720907:PGZ720907 PQO720907:PQV720907 QAK720907:QAR720907 QKG720907:QKN720907 QUC720907:QUJ720907 RDY720907:REF720907 RNU720907:ROB720907 RXQ720907:RXX720907 SHM720907:SHT720907 SRI720907:SRP720907 TBE720907:TBL720907 TLA720907:TLH720907 TUW720907:TVD720907 UES720907:UEZ720907 UOO720907:UOV720907 UYK720907:UYR720907 VIG720907:VIN720907 VSC720907:VSJ720907 WBY720907:WCF720907 WLU720907:WMB720907 WVQ720907:WVX720907 I786443:P786443 JE786443:JL786443 TA786443:TH786443 ACW786443:ADD786443 AMS786443:AMZ786443 AWO786443:AWV786443 BGK786443:BGR786443 BQG786443:BQN786443 CAC786443:CAJ786443 CJY786443:CKF786443 CTU786443:CUB786443 DDQ786443:DDX786443 DNM786443:DNT786443 DXI786443:DXP786443 EHE786443:EHL786443 ERA786443:ERH786443 FAW786443:FBD786443 FKS786443:FKZ786443 FUO786443:FUV786443 GEK786443:GER786443 GOG786443:GON786443 GYC786443:GYJ786443 HHY786443:HIF786443 HRU786443:HSB786443 IBQ786443:IBX786443 ILM786443:ILT786443 IVI786443:IVP786443 JFE786443:JFL786443 JPA786443:JPH786443 JYW786443:JZD786443 KIS786443:KIZ786443 KSO786443:KSV786443 LCK786443:LCR786443 LMG786443:LMN786443 LWC786443:LWJ786443 MFY786443:MGF786443 MPU786443:MQB786443 MZQ786443:MZX786443 NJM786443:NJT786443 NTI786443:NTP786443 ODE786443:ODL786443 ONA786443:ONH786443 OWW786443:OXD786443 PGS786443:PGZ786443 PQO786443:PQV786443 QAK786443:QAR786443 QKG786443:QKN786443 QUC786443:QUJ786443 RDY786443:REF786443 RNU786443:ROB786443 RXQ786443:RXX786443 SHM786443:SHT786443 SRI786443:SRP786443 TBE786443:TBL786443 TLA786443:TLH786443 TUW786443:TVD786443 UES786443:UEZ786443 UOO786443:UOV786443 UYK786443:UYR786443 VIG786443:VIN786443 VSC786443:VSJ786443 WBY786443:WCF786443 WLU786443:WMB786443 WVQ786443:WVX786443 I851979:P851979 JE851979:JL851979 TA851979:TH851979 ACW851979:ADD851979 AMS851979:AMZ851979 AWO851979:AWV851979 BGK851979:BGR851979 BQG851979:BQN851979 CAC851979:CAJ851979 CJY851979:CKF851979 CTU851979:CUB851979 DDQ851979:DDX851979 DNM851979:DNT851979 DXI851979:DXP851979 EHE851979:EHL851979 ERA851979:ERH851979 FAW851979:FBD851979 FKS851979:FKZ851979 FUO851979:FUV851979 GEK851979:GER851979 GOG851979:GON851979 GYC851979:GYJ851979 HHY851979:HIF851979 HRU851979:HSB851979 IBQ851979:IBX851979 ILM851979:ILT851979 IVI851979:IVP851979 JFE851979:JFL851979 JPA851979:JPH851979 JYW851979:JZD851979 KIS851979:KIZ851979 KSO851979:KSV851979 LCK851979:LCR851979 LMG851979:LMN851979 LWC851979:LWJ851979 MFY851979:MGF851979 MPU851979:MQB851979 MZQ851979:MZX851979 NJM851979:NJT851979 NTI851979:NTP851979 ODE851979:ODL851979 ONA851979:ONH851979 OWW851979:OXD851979 PGS851979:PGZ851979 PQO851979:PQV851979 QAK851979:QAR851979 QKG851979:QKN851979 QUC851979:QUJ851979 RDY851979:REF851979 RNU851979:ROB851979 RXQ851979:RXX851979 SHM851979:SHT851979 SRI851979:SRP851979 TBE851979:TBL851979 TLA851979:TLH851979 TUW851979:TVD851979 UES851979:UEZ851979 UOO851979:UOV851979 UYK851979:UYR851979 VIG851979:VIN851979 VSC851979:VSJ851979 WBY851979:WCF851979 WLU851979:WMB851979 WVQ851979:WVX851979 I917515:P917515 JE917515:JL917515 TA917515:TH917515 ACW917515:ADD917515 AMS917515:AMZ917515 AWO917515:AWV917515 BGK917515:BGR917515 BQG917515:BQN917515 CAC917515:CAJ917515 CJY917515:CKF917515 CTU917515:CUB917515 DDQ917515:DDX917515 DNM917515:DNT917515 DXI917515:DXP917515 EHE917515:EHL917515 ERA917515:ERH917515 FAW917515:FBD917515 FKS917515:FKZ917515 FUO917515:FUV917515 GEK917515:GER917515 GOG917515:GON917515 GYC917515:GYJ917515 HHY917515:HIF917515 HRU917515:HSB917515 IBQ917515:IBX917515 ILM917515:ILT917515 IVI917515:IVP917515 JFE917515:JFL917515 JPA917515:JPH917515 JYW917515:JZD917515 KIS917515:KIZ917515 KSO917515:KSV917515 LCK917515:LCR917515 LMG917515:LMN917515 LWC917515:LWJ917515 MFY917515:MGF917515 MPU917515:MQB917515 MZQ917515:MZX917515 NJM917515:NJT917515 NTI917515:NTP917515 ODE917515:ODL917515 ONA917515:ONH917515 OWW917515:OXD917515 PGS917515:PGZ917515 PQO917515:PQV917515 QAK917515:QAR917515 QKG917515:QKN917515 QUC917515:QUJ917515 RDY917515:REF917515 RNU917515:ROB917515 RXQ917515:RXX917515 SHM917515:SHT917515 SRI917515:SRP917515 TBE917515:TBL917515 TLA917515:TLH917515 TUW917515:TVD917515 UES917515:UEZ917515 UOO917515:UOV917515 UYK917515:UYR917515 VIG917515:VIN917515 VSC917515:VSJ917515 WBY917515:WCF917515 WLU917515:WMB917515 WVQ917515:WVX917515 I983051:P983051 JE983051:JL983051 TA983051:TH983051 ACW983051:ADD983051 AMS983051:AMZ983051 AWO983051:AWV983051 BGK983051:BGR983051 BQG983051:BQN983051 CAC983051:CAJ983051 CJY983051:CKF983051 CTU983051:CUB983051 DDQ983051:DDX983051 DNM983051:DNT983051 DXI983051:DXP983051 EHE983051:EHL983051 ERA983051:ERH983051 FAW983051:FBD983051 FKS983051:FKZ983051 FUO983051:FUV983051 GEK983051:GER983051 GOG983051:GON983051 GYC983051:GYJ983051 HHY983051:HIF983051 HRU983051:HSB983051 IBQ983051:IBX983051 ILM983051:ILT983051 IVI983051:IVP983051 JFE983051:JFL983051 JPA983051:JPH983051 JYW983051:JZD983051 KIS983051:KIZ983051 KSO983051:KSV983051 LCK983051:LCR983051 LMG983051:LMN983051 LWC983051:LWJ983051 MFY983051:MGF983051 MPU983051:MQB983051 MZQ983051:MZX983051 NJM983051:NJT983051 NTI983051:NTP983051 ODE983051:ODL983051 ONA983051:ONH983051 OWW983051:OXD983051 PGS983051:PGZ983051 PQO983051:PQV983051 QAK983051:QAR983051 QKG983051:QKN983051 QUC983051:QUJ983051 RDY983051:REF983051 RNU983051:ROB983051 RXQ983051:RXX983051 SHM983051:SHT983051 SRI983051:SRP983051 TBE983051:TBL983051 TLA983051:TLH983051 TUW983051:TVD983051 UES983051:UEZ983051 UOO983051:UOV983051 UYK983051:UYR983051 VIG983051:VIN983051 VSC983051:VSJ983051 WBY983051:WCF983051 WLU983051:WMB983051 WVQ983051:WVX983051" xr:uid="{00000000-0002-0000-0300-000001000000}">
      <formula1>$A$50:$A$56</formula1>
    </dataValidation>
    <dataValidation operator="greaterThanOrEqual" allowBlank="1" showInputMessage="1" showErrorMessage="1" errorTitle="Erro de valores" error="Digite um valor igual a 0% ou 2%."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xr:uid="{00000000-0002-0000-0300-000002000000}"/>
    <dataValidation type="decimal" allowBlank="1" showInputMessage="1" showErrorMessage="1" errorTitle="Erro de valores" error="Digite um valor maior do que 0."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xr:uid="{00000000-0002-0000-0300-000003000000}">
      <formula1>0</formula1>
      <formula2>1</formula2>
    </dataValidation>
    <dataValidation type="decimal" allowBlank="1" showInputMessage="1" showErrorMessage="1" errorTitle="Valor não permitido" error="Digite um percentual entre 0% e 100%." promptTitle="Valores admissíveis:" prompt="Insira valores entre 0 e 100%." sqref="Q13:R13 JM13:JN13 TI13:TJ13 ADE13:ADF13 ANA13:ANB13 AWW13:AWX13 BGS13:BGT13 BQO13:BQP13 CAK13:CAL13 CKG13:CKH13 CUC13:CUD13 DDY13:DDZ13 DNU13:DNV13 DXQ13:DXR13 EHM13:EHN13 ERI13:ERJ13 FBE13:FBF13 FLA13:FLB13 FUW13:FUX13 GES13:GET13 GOO13:GOP13 GYK13:GYL13 HIG13:HIH13 HSC13:HSD13 IBY13:IBZ13 ILU13:ILV13 IVQ13:IVR13 JFM13:JFN13 JPI13:JPJ13 JZE13:JZF13 KJA13:KJB13 KSW13:KSX13 LCS13:LCT13 LMO13:LMP13 LWK13:LWL13 MGG13:MGH13 MQC13:MQD13 MZY13:MZZ13 NJU13:NJV13 NTQ13:NTR13 ODM13:ODN13 ONI13:ONJ13 OXE13:OXF13 PHA13:PHB13 PQW13:PQX13 QAS13:QAT13 QKO13:QKP13 QUK13:QUL13 REG13:REH13 ROC13:ROD13 RXY13:RXZ13 SHU13:SHV13 SRQ13:SRR13 TBM13:TBN13 TLI13:TLJ13 TVE13:TVF13 UFA13:UFB13 UOW13:UOX13 UYS13:UYT13 VIO13:VIP13 VSK13:VSL13 WCG13:WCH13 WMC13:WMD13 WVY13:WVZ13 Q65549:R65549 JM65549:JN65549 TI65549:TJ65549 ADE65549:ADF65549 ANA65549:ANB65549 AWW65549:AWX65549 BGS65549:BGT65549 BQO65549:BQP65549 CAK65549:CAL65549 CKG65549:CKH65549 CUC65549:CUD65549 DDY65549:DDZ65549 DNU65549:DNV65549 DXQ65549:DXR65549 EHM65549:EHN65549 ERI65549:ERJ65549 FBE65549:FBF65549 FLA65549:FLB65549 FUW65549:FUX65549 GES65549:GET65549 GOO65549:GOP65549 GYK65549:GYL65549 HIG65549:HIH65549 HSC65549:HSD65549 IBY65549:IBZ65549 ILU65549:ILV65549 IVQ65549:IVR65549 JFM65549:JFN65549 JPI65549:JPJ65549 JZE65549:JZF65549 KJA65549:KJB65549 KSW65549:KSX65549 LCS65549:LCT65549 LMO65549:LMP65549 LWK65549:LWL65549 MGG65549:MGH65549 MQC65549:MQD65549 MZY65549:MZZ65549 NJU65549:NJV65549 NTQ65549:NTR65549 ODM65549:ODN65549 ONI65549:ONJ65549 OXE65549:OXF65549 PHA65549:PHB65549 PQW65549:PQX65549 QAS65549:QAT65549 QKO65549:QKP65549 QUK65549:QUL65549 REG65549:REH65549 ROC65549:ROD65549 RXY65549:RXZ65549 SHU65549:SHV65549 SRQ65549:SRR65549 TBM65549:TBN65549 TLI65549:TLJ65549 TVE65549:TVF65549 UFA65549:UFB65549 UOW65549:UOX65549 UYS65549:UYT65549 VIO65549:VIP65549 VSK65549:VSL65549 WCG65549:WCH65549 WMC65549:WMD65549 WVY65549:WVZ65549 Q131085:R131085 JM131085:JN131085 TI131085:TJ131085 ADE131085:ADF131085 ANA131085:ANB131085 AWW131085:AWX131085 BGS131085:BGT131085 BQO131085:BQP131085 CAK131085:CAL131085 CKG131085:CKH131085 CUC131085:CUD131085 DDY131085:DDZ131085 DNU131085:DNV131085 DXQ131085:DXR131085 EHM131085:EHN131085 ERI131085:ERJ131085 FBE131085:FBF131085 FLA131085:FLB131085 FUW131085:FUX131085 GES131085:GET131085 GOO131085:GOP131085 GYK131085:GYL131085 HIG131085:HIH131085 HSC131085:HSD131085 IBY131085:IBZ131085 ILU131085:ILV131085 IVQ131085:IVR131085 JFM131085:JFN131085 JPI131085:JPJ131085 JZE131085:JZF131085 KJA131085:KJB131085 KSW131085:KSX131085 LCS131085:LCT131085 LMO131085:LMP131085 LWK131085:LWL131085 MGG131085:MGH131085 MQC131085:MQD131085 MZY131085:MZZ131085 NJU131085:NJV131085 NTQ131085:NTR131085 ODM131085:ODN131085 ONI131085:ONJ131085 OXE131085:OXF131085 PHA131085:PHB131085 PQW131085:PQX131085 QAS131085:QAT131085 QKO131085:QKP131085 QUK131085:QUL131085 REG131085:REH131085 ROC131085:ROD131085 RXY131085:RXZ131085 SHU131085:SHV131085 SRQ131085:SRR131085 TBM131085:TBN131085 TLI131085:TLJ131085 TVE131085:TVF131085 UFA131085:UFB131085 UOW131085:UOX131085 UYS131085:UYT131085 VIO131085:VIP131085 VSK131085:VSL131085 WCG131085:WCH131085 WMC131085:WMD131085 WVY131085:WVZ131085 Q196621:R196621 JM196621:JN196621 TI196621:TJ196621 ADE196621:ADF196621 ANA196621:ANB196621 AWW196621:AWX196621 BGS196621:BGT196621 BQO196621:BQP196621 CAK196621:CAL196621 CKG196621:CKH196621 CUC196621:CUD196621 DDY196621:DDZ196621 DNU196621:DNV196621 DXQ196621:DXR196621 EHM196621:EHN196621 ERI196621:ERJ196621 FBE196621:FBF196621 FLA196621:FLB196621 FUW196621:FUX196621 GES196621:GET196621 GOO196621:GOP196621 GYK196621:GYL196621 HIG196621:HIH196621 HSC196621:HSD196621 IBY196621:IBZ196621 ILU196621:ILV196621 IVQ196621:IVR196621 JFM196621:JFN196621 JPI196621:JPJ196621 JZE196621:JZF196621 KJA196621:KJB196621 KSW196621:KSX196621 LCS196621:LCT196621 LMO196621:LMP196621 LWK196621:LWL196621 MGG196621:MGH196621 MQC196621:MQD196621 MZY196621:MZZ196621 NJU196621:NJV196621 NTQ196621:NTR196621 ODM196621:ODN196621 ONI196621:ONJ196621 OXE196621:OXF196621 PHA196621:PHB196621 PQW196621:PQX196621 QAS196621:QAT196621 QKO196621:QKP196621 QUK196621:QUL196621 REG196621:REH196621 ROC196621:ROD196621 RXY196621:RXZ196621 SHU196621:SHV196621 SRQ196621:SRR196621 TBM196621:TBN196621 TLI196621:TLJ196621 TVE196621:TVF196621 UFA196621:UFB196621 UOW196621:UOX196621 UYS196621:UYT196621 VIO196621:VIP196621 VSK196621:VSL196621 WCG196621:WCH196621 WMC196621:WMD196621 WVY196621:WVZ196621 Q262157:R262157 JM262157:JN262157 TI262157:TJ262157 ADE262157:ADF262157 ANA262157:ANB262157 AWW262157:AWX262157 BGS262157:BGT262157 BQO262157:BQP262157 CAK262157:CAL262157 CKG262157:CKH262157 CUC262157:CUD262157 DDY262157:DDZ262157 DNU262157:DNV262157 DXQ262157:DXR262157 EHM262157:EHN262157 ERI262157:ERJ262157 FBE262157:FBF262157 FLA262157:FLB262157 FUW262157:FUX262157 GES262157:GET262157 GOO262157:GOP262157 GYK262157:GYL262157 HIG262157:HIH262157 HSC262157:HSD262157 IBY262157:IBZ262157 ILU262157:ILV262157 IVQ262157:IVR262157 JFM262157:JFN262157 JPI262157:JPJ262157 JZE262157:JZF262157 KJA262157:KJB262157 KSW262157:KSX262157 LCS262157:LCT262157 LMO262157:LMP262157 LWK262157:LWL262157 MGG262157:MGH262157 MQC262157:MQD262157 MZY262157:MZZ262157 NJU262157:NJV262157 NTQ262157:NTR262157 ODM262157:ODN262157 ONI262157:ONJ262157 OXE262157:OXF262157 PHA262157:PHB262157 PQW262157:PQX262157 QAS262157:QAT262157 QKO262157:QKP262157 QUK262157:QUL262157 REG262157:REH262157 ROC262157:ROD262157 RXY262157:RXZ262157 SHU262157:SHV262157 SRQ262157:SRR262157 TBM262157:TBN262157 TLI262157:TLJ262157 TVE262157:TVF262157 UFA262157:UFB262157 UOW262157:UOX262157 UYS262157:UYT262157 VIO262157:VIP262157 VSK262157:VSL262157 WCG262157:WCH262157 WMC262157:WMD262157 WVY262157:WVZ262157 Q327693:R327693 JM327693:JN327693 TI327693:TJ327693 ADE327693:ADF327693 ANA327693:ANB327693 AWW327693:AWX327693 BGS327693:BGT327693 BQO327693:BQP327693 CAK327693:CAL327693 CKG327693:CKH327693 CUC327693:CUD327693 DDY327693:DDZ327693 DNU327693:DNV327693 DXQ327693:DXR327693 EHM327693:EHN327693 ERI327693:ERJ327693 FBE327693:FBF327693 FLA327693:FLB327693 FUW327693:FUX327693 GES327693:GET327693 GOO327693:GOP327693 GYK327693:GYL327693 HIG327693:HIH327693 HSC327693:HSD327693 IBY327693:IBZ327693 ILU327693:ILV327693 IVQ327693:IVR327693 JFM327693:JFN327693 JPI327693:JPJ327693 JZE327693:JZF327693 KJA327693:KJB327693 KSW327693:KSX327693 LCS327693:LCT327693 LMO327693:LMP327693 LWK327693:LWL327693 MGG327693:MGH327693 MQC327693:MQD327693 MZY327693:MZZ327693 NJU327693:NJV327693 NTQ327693:NTR327693 ODM327693:ODN327693 ONI327693:ONJ327693 OXE327693:OXF327693 PHA327693:PHB327693 PQW327693:PQX327693 QAS327693:QAT327693 QKO327693:QKP327693 QUK327693:QUL327693 REG327693:REH327693 ROC327693:ROD327693 RXY327693:RXZ327693 SHU327693:SHV327693 SRQ327693:SRR327693 TBM327693:TBN327693 TLI327693:TLJ327693 TVE327693:TVF327693 UFA327693:UFB327693 UOW327693:UOX327693 UYS327693:UYT327693 VIO327693:VIP327693 VSK327693:VSL327693 WCG327693:WCH327693 WMC327693:WMD327693 WVY327693:WVZ327693 Q393229:R393229 JM393229:JN393229 TI393229:TJ393229 ADE393229:ADF393229 ANA393229:ANB393229 AWW393229:AWX393229 BGS393229:BGT393229 BQO393229:BQP393229 CAK393229:CAL393229 CKG393229:CKH393229 CUC393229:CUD393229 DDY393229:DDZ393229 DNU393229:DNV393229 DXQ393229:DXR393229 EHM393229:EHN393229 ERI393229:ERJ393229 FBE393229:FBF393229 FLA393229:FLB393229 FUW393229:FUX393229 GES393229:GET393229 GOO393229:GOP393229 GYK393229:GYL393229 HIG393229:HIH393229 HSC393229:HSD393229 IBY393229:IBZ393229 ILU393229:ILV393229 IVQ393229:IVR393229 JFM393229:JFN393229 JPI393229:JPJ393229 JZE393229:JZF393229 KJA393229:KJB393229 KSW393229:KSX393229 LCS393229:LCT393229 LMO393229:LMP393229 LWK393229:LWL393229 MGG393229:MGH393229 MQC393229:MQD393229 MZY393229:MZZ393229 NJU393229:NJV393229 NTQ393229:NTR393229 ODM393229:ODN393229 ONI393229:ONJ393229 OXE393229:OXF393229 PHA393229:PHB393229 PQW393229:PQX393229 QAS393229:QAT393229 QKO393229:QKP393229 QUK393229:QUL393229 REG393229:REH393229 ROC393229:ROD393229 RXY393229:RXZ393229 SHU393229:SHV393229 SRQ393229:SRR393229 TBM393229:TBN393229 TLI393229:TLJ393229 TVE393229:TVF393229 UFA393229:UFB393229 UOW393229:UOX393229 UYS393229:UYT393229 VIO393229:VIP393229 VSK393229:VSL393229 WCG393229:WCH393229 WMC393229:WMD393229 WVY393229:WVZ393229 Q458765:R458765 JM458765:JN458765 TI458765:TJ458765 ADE458765:ADF458765 ANA458765:ANB458765 AWW458765:AWX458765 BGS458765:BGT458765 BQO458765:BQP458765 CAK458765:CAL458765 CKG458765:CKH458765 CUC458765:CUD458765 DDY458765:DDZ458765 DNU458765:DNV458765 DXQ458765:DXR458765 EHM458765:EHN458765 ERI458765:ERJ458765 FBE458765:FBF458765 FLA458765:FLB458765 FUW458765:FUX458765 GES458765:GET458765 GOO458765:GOP458765 GYK458765:GYL458765 HIG458765:HIH458765 HSC458765:HSD458765 IBY458765:IBZ458765 ILU458765:ILV458765 IVQ458765:IVR458765 JFM458765:JFN458765 JPI458765:JPJ458765 JZE458765:JZF458765 KJA458765:KJB458765 KSW458765:KSX458765 LCS458765:LCT458765 LMO458765:LMP458765 LWK458765:LWL458765 MGG458765:MGH458765 MQC458765:MQD458765 MZY458765:MZZ458765 NJU458765:NJV458765 NTQ458765:NTR458765 ODM458765:ODN458765 ONI458765:ONJ458765 OXE458765:OXF458765 PHA458765:PHB458765 PQW458765:PQX458765 QAS458765:QAT458765 QKO458765:QKP458765 QUK458765:QUL458765 REG458765:REH458765 ROC458765:ROD458765 RXY458765:RXZ458765 SHU458765:SHV458765 SRQ458765:SRR458765 TBM458765:TBN458765 TLI458765:TLJ458765 TVE458765:TVF458765 UFA458765:UFB458765 UOW458765:UOX458765 UYS458765:UYT458765 VIO458765:VIP458765 VSK458765:VSL458765 WCG458765:WCH458765 WMC458765:WMD458765 WVY458765:WVZ458765 Q524301:R524301 JM524301:JN524301 TI524301:TJ524301 ADE524301:ADF524301 ANA524301:ANB524301 AWW524301:AWX524301 BGS524301:BGT524301 BQO524301:BQP524301 CAK524301:CAL524301 CKG524301:CKH524301 CUC524301:CUD524301 DDY524301:DDZ524301 DNU524301:DNV524301 DXQ524301:DXR524301 EHM524301:EHN524301 ERI524301:ERJ524301 FBE524301:FBF524301 FLA524301:FLB524301 FUW524301:FUX524301 GES524301:GET524301 GOO524301:GOP524301 GYK524301:GYL524301 HIG524301:HIH524301 HSC524301:HSD524301 IBY524301:IBZ524301 ILU524301:ILV524301 IVQ524301:IVR524301 JFM524301:JFN524301 JPI524301:JPJ524301 JZE524301:JZF524301 KJA524301:KJB524301 KSW524301:KSX524301 LCS524301:LCT524301 LMO524301:LMP524301 LWK524301:LWL524301 MGG524301:MGH524301 MQC524301:MQD524301 MZY524301:MZZ524301 NJU524301:NJV524301 NTQ524301:NTR524301 ODM524301:ODN524301 ONI524301:ONJ524301 OXE524301:OXF524301 PHA524301:PHB524301 PQW524301:PQX524301 QAS524301:QAT524301 QKO524301:QKP524301 QUK524301:QUL524301 REG524301:REH524301 ROC524301:ROD524301 RXY524301:RXZ524301 SHU524301:SHV524301 SRQ524301:SRR524301 TBM524301:TBN524301 TLI524301:TLJ524301 TVE524301:TVF524301 UFA524301:UFB524301 UOW524301:UOX524301 UYS524301:UYT524301 VIO524301:VIP524301 VSK524301:VSL524301 WCG524301:WCH524301 WMC524301:WMD524301 WVY524301:WVZ524301 Q589837:R589837 JM589837:JN589837 TI589837:TJ589837 ADE589837:ADF589837 ANA589837:ANB589837 AWW589837:AWX589837 BGS589837:BGT589837 BQO589837:BQP589837 CAK589837:CAL589837 CKG589837:CKH589837 CUC589837:CUD589837 DDY589837:DDZ589837 DNU589837:DNV589837 DXQ589837:DXR589837 EHM589837:EHN589837 ERI589837:ERJ589837 FBE589837:FBF589837 FLA589837:FLB589837 FUW589837:FUX589837 GES589837:GET589837 GOO589837:GOP589837 GYK589837:GYL589837 HIG589837:HIH589837 HSC589837:HSD589837 IBY589837:IBZ589837 ILU589837:ILV589837 IVQ589837:IVR589837 JFM589837:JFN589837 JPI589837:JPJ589837 JZE589837:JZF589837 KJA589837:KJB589837 KSW589837:KSX589837 LCS589837:LCT589837 LMO589837:LMP589837 LWK589837:LWL589837 MGG589837:MGH589837 MQC589837:MQD589837 MZY589837:MZZ589837 NJU589837:NJV589837 NTQ589837:NTR589837 ODM589837:ODN589837 ONI589837:ONJ589837 OXE589837:OXF589837 PHA589837:PHB589837 PQW589837:PQX589837 QAS589837:QAT589837 QKO589837:QKP589837 QUK589837:QUL589837 REG589837:REH589837 ROC589837:ROD589837 RXY589837:RXZ589837 SHU589837:SHV589837 SRQ589837:SRR589837 TBM589837:TBN589837 TLI589837:TLJ589837 TVE589837:TVF589837 UFA589837:UFB589837 UOW589837:UOX589837 UYS589837:UYT589837 VIO589837:VIP589837 VSK589837:VSL589837 WCG589837:WCH589837 WMC589837:WMD589837 WVY589837:WVZ589837 Q655373:R655373 JM655373:JN655373 TI655373:TJ655373 ADE655373:ADF655373 ANA655373:ANB655373 AWW655373:AWX655373 BGS655373:BGT655373 BQO655373:BQP655373 CAK655373:CAL655373 CKG655373:CKH655373 CUC655373:CUD655373 DDY655373:DDZ655373 DNU655373:DNV655373 DXQ655373:DXR655373 EHM655373:EHN655373 ERI655373:ERJ655373 FBE655373:FBF655373 FLA655373:FLB655373 FUW655373:FUX655373 GES655373:GET655373 GOO655373:GOP655373 GYK655373:GYL655373 HIG655373:HIH655373 HSC655373:HSD655373 IBY655373:IBZ655373 ILU655373:ILV655373 IVQ655373:IVR655373 JFM655373:JFN655373 JPI655373:JPJ655373 JZE655373:JZF655373 KJA655373:KJB655373 KSW655373:KSX655373 LCS655373:LCT655373 LMO655373:LMP655373 LWK655373:LWL655373 MGG655373:MGH655373 MQC655373:MQD655373 MZY655373:MZZ655373 NJU655373:NJV655373 NTQ655373:NTR655373 ODM655373:ODN655373 ONI655373:ONJ655373 OXE655373:OXF655373 PHA655373:PHB655373 PQW655373:PQX655373 QAS655373:QAT655373 QKO655373:QKP655373 QUK655373:QUL655373 REG655373:REH655373 ROC655373:ROD655373 RXY655373:RXZ655373 SHU655373:SHV655373 SRQ655373:SRR655373 TBM655373:TBN655373 TLI655373:TLJ655373 TVE655373:TVF655373 UFA655373:UFB655373 UOW655373:UOX655373 UYS655373:UYT655373 VIO655373:VIP655373 VSK655373:VSL655373 WCG655373:WCH655373 WMC655373:WMD655373 WVY655373:WVZ655373 Q720909:R720909 JM720909:JN720909 TI720909:TJ720909 ADE720909:ADF720909 ANA720909:ANB720909 AWW720909:AWX720909 BGS720909:BGT720909 BQO720909:BQP720909 CAK720909:CAL720909 CKG720909:CKH720909 CUC720909:CUD720909 DDY720909:DDZ720909 DNU720909:DNV720909 DXQ720909:DXR720909 EHM720909:EHN720909 ERI720909:ERJ720909 FBE720909:FBF720909 FLA720909:FLB720909 FUW720909:FUX720909 GES720909:GET720909 GOO720909:GOP720909 GYK720909:GYL720909 HIG720909:HIH720909 HSC720909:HSD720909 IBY720909:IBZ720909 ILU720909:ILV720909 IVQ720909:IVR720909 JFM720909:JFN720909 JPI720909:JPJ720909 JZE720909:JZF720909 KJA720909:KJB720909 KSW720909:KSX720909 LCS720909:LCT720909 LMO720909:LMP720909 LWK720909:LWL720909 MGG720909:MGH720909 MQC720909:MQD720909 MZY720909:MZZ720909 NJU720909:NJV720909 NTQ720909:NTR720909 ODM720909:ODN720909 ONI720909:ONJ720909 OXE720909:OXF720909 PHA720909:PHB720909 PQW720909:PQX720909 QAS720909:QAT720909 QKO720909:QKP720909 QUK720909:QUL720909 REG720909:REH720909 ROC720909:ROD720909 RXY720909:RXZ720909 SHU720909:SHV720909 SRQ720909:SRR720909 TBM720909:TBN720909 TLI720909:TLJ720909 TVE720909:TVF720909 UFA720909:UFB720909 UOW720909:UOX720909 UYS720909:UYT720909 VIO720909:VIP720909 VSK720909:VSL720909 WCG720909:WCH720909 WMC720909:WMD720909 WVY720909:WVZ720909 Q786445:R786445 JM786445:JN786445 TI786445:TJ786445 ADE786445:ADF786445 ANA786445:ANB786445 AWW786445:AWX786445 BGS786445:BGT786445 BQO786445:BQP786445 CAK786445:CAL786445 CKG786445:CKH786445 CUC786445:CUD786445 DDY786445:DDZ786445 DNU786445:DNV786445 DXQ786445:DXR786445 EHM786445:EHN786445 ERI786445:ERJ786445 FBE786445:FBF786445 FLA786445:FLB786445 FUW786445:FUX786445 GES786445:GET786445 GOO786445:GOP786445 GYK786445:GYL786445 HIG786445:HIH786445 HSC786445:HSD786445 IBY786445:IBZ786445 ILU786445:ILV786445 IVQ786445:IVR786445 JFM786445:JFN786445 JPI786445:JPJ786445 JZE786445:JZF786445 KJA786445:KJB786445 KSW786445:KSX786445 LCS786445:LCT786445 LMO786445:LMP786445 LWK786445:LWL786445 MGG786445:MGH786445 MQC786445:MQD786445 MZY786445:MZZ786445 NJU786445:NJV786445 NTQ786445:NTR786445 ODM786445:ODN786445 ONI786445:ONJ786445 OXE786445:OXF786445 PHA786445:PHB786445 PQW786445:PQX786445 QAS786445:QAT786445 QKO786445:QKP786445 QUK786445:QUL786445 REG786445:REH786445 ROC786445:ROD786445 RXY786445:RXZ786445 SHU786445:SHV786445 SRQ786445:SRR786445 TBM786445:TBN786445 TLI786445:TLJ786445 TVE786445:TVF786445 UFA786445:UFB786445 UOW786445:UOX786445 UYS786445:UYT786445 VIO786445:VIP786445 VSK786445:VSL786445 WCG786445:WCH786445 WMC786445:WMD786445 WVY786445:WVZ786445 Q851981:R851981 JM851981:JN851981 TI851981:TJ851981 ADE851981:ADF851981 ANA851981:ANB851981 AWW851981:AWX851981 BGS851981:BGT851981 BQO851981:BQP851981 CAK851981:CAL851981 CKG851981:CKH851981 CUC851981:CUD851981 DDY851981:DDZ851981 DNU851981:DNV851981 DXQ851981:DXR851981 EHM851981:EHN851981 ERI851981:ERJ851981 FBE851981:FBF851981 FLA851981:FLB851981 FUW851981:FUX851981 GES851981:GET851981 GOO851981:GOP851981 GYK851981:GYL851981 HIG851981:HIH851981 HSC851981:HSD851981 IBY851981:IBZ851981 ILU851981:ILV851981 IVQ851981:IVR851981 JFM851981:JFN851981 JPI851981:JPJ851981 JZE851981:JZF851981 KJA851981:KJB851981 KSW851981:KSX851981 LCS851981:LCT851981 LMO851981:LMP851981 LWK851981:LWL851981 MGG851981:MGH851981 MQC851981:MQD851981 MZY851981:MZZ851981 NJU851981:NJV851981 NTQ851981:NTR851981 ODM851981:ODN851981 ONI851981:ONJ851981 OXE851981:OXF851981 PHA851981:PHB851981 PQW851981:PQX851981 QAS851981:QAT851981 QKO851981:QKP851981 QUK851981:QUL851981 REG851981:REH851981 ROC851981:ROD851981 RXY851981:RXZ851981 SHU851981:SHV851981 SRQ851981:SRR851981 TBM851981:TBN851981 TLI851981:TLJ851981 TVE851981:TVF851981 UFA851981:UFB851981 UOW851981:UOX851981 UYS851981:UYT851981 VIO851981:VIP851981 VSK851981:VSL851981 WCG851981:WCH851981 WMC851981:WMD851981 WVY851981:WVZ851981 Q917517:R917517 JM917517:JN917517 TI917517:TJ917517 ADE917517:ADF917517 ANA917517:ANB917517 AWW917517:AWX917517 BGS917517:BGT917517 BQO917517:BQP917517 CAK917517:CAL917517 CKG917517:CKH917517 CUC917517:CUD917517 DDY917517:DDZ917517 DNU917517:DNV917517 DXQ917517:DXR917517 EHM917517:EHN917517 ERI917517:ERJ917517 FBE917517:FBF917517 FLA917517:FLB917517 FUW917517:FUX917517 GES917517:GET917517 GOO917517:GOP917517 GYK917517:GYL917517 HIG917517:HIH917517 HSC917517:HSD917517 IBY917517:IBZ917517 ILU917517:ILV917517 IVQ917517:IVR917517 JFM917517:JFN917517 JPI917517:JPJ917517 JZE917517:JZF917517 KJA917517:KJB917517 KSW917517:KSX917517 LCS917517:LCT917517 LMO917517:LMP917517 LWK917517:LWL917517 MGG917517:MGH917517 MQC917517:MQD917517 MZY917517:MZZ917517 NJU917517:NJV917517 NTQ917517:NTR917517 ODM917517:ODN917517 ONI917517:ONJ917517 OXE917517:OXF917517 PHA917517:PHB917517 PQW917517:PQX917517 QAS917517:QAT917517 QKO917517:QKP917517 QUK917517:QUL917517 REG917517:REH917517 ROC917517:ROD917517 RXY917517:RXZ917517 SHU917517:SHV917517 SRQ917517:SRR917517 TBM917517:TBN917517 TLI917517:TLJ917517 TVE917517:TVF917517 UFA917517:UFB917517 UOW917517:UOX917517 UYS917517:UYT917517 VIO917517:VIP917517 VSK917517:VSL917517 WCG917517:WCH917517 WMC917517:WMD917517 WVY917517:WVZ917517 Q983053:R983053 JM983053:JN983053 TI983053:TJ983053 ADE983053:ADF983053 ANA983053:ANB983053 AWW983053:AWX983053 BGS983053:BGT983053 BQO983053:BQP983053 CAK983053:CAL983053 CKG983053:CKH983053 CUC983053:CUD983053 DDY983053:DDZ983053 DNU983053:DNV983053 DXQ983053:DXR983053 EHM983053:EHN983053 ERI983053:ERJ983053 FBE983053:FBF983053 FLA983053:FLB983053 FUW983053:FUX983053 GES983053:GET983053 GOO983053:GOP983053 GYK983053:GYL983053 HIG983053:HIH983053 HSC983053:HSD983053 IBY983053:IBZ983053 ILU983053:ILV983053 IVQ983053:IVR983053 JFM983053:JFN983053 JPI983053:JPJ983053 JZE983053:JZF983053 KJA983053:KJB983053 KSW983053:KSX983053 LCS983053:LCT983053 LMO983053:LMP983053 LWK983053:LWL983053 MGG983053:MGH983053 MQC983053:MQD983053 MZY983053:MZZ983053 NJU983053:NJV983053 NTQ983053:NTR983053 ODM983053:ODN983053 ONI983053:ONJ983053 OXE983053:OXF983053 PHA983053:PHB983053 PQW983053:PQX983053 QAS983053:QAT983053 QKO983053:QKP983053 QUK983053:QUL983053 REG983053:REH983053 ROC983053:ROD983053 RXY983053:RXZ983053 SHU983053:SHV983053 SRQ983053:SRR983053 TBM983053:TBN983053 TLI983053:TLJ983053 TVE983053:TVF983053 UFA983053:UFB983053 UOW983053:UOX983053 UYS983053:UYT983053 VIO983053:VIP983053 VSK983053:VSL983053 WCG983053:WCH983053 WMC983053:WMD983053 WVY983053:WVZ983053" xr:uid="{00000000-0002-0000-0300-000004000000}">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xr:uid="{00000000-0002-0000-0300-000005000000}">
      <formula1>0</formula1>
    </dataValidation>
    <dataValidation type="decimal" allowBlank="1" showInputMessage="1" showErrorMessage="1" errorTitle="Erro de valores" error="Digite um valor entre 0% e 100%" sqref="N18:N23 JJ18:JJ23 TF18:TF23 ADB18:ADB23 AMX18:AMX23 AWT18:AWT23 BGP18:BGP23 BQL18:BQL23 CAH18:CAH23 CKD18:CKD23 CTZ18:CTZ23 DDV18:DDV23 DNR18:DNR23 DXN18:DXN23 EHJ18:EHJ23 ERF18:ERF23 FBB18:FBB23 FKX18:FKX23 FUT18:FUT23 GEP18:GEP23 GOL18:GOL23 GYH18:GYH23 HID18:HID23 HRZ18:HRZ23 IBV18:IBV23 ILR18:ILR23 IVN18:IVN23 JFJ18:JFJ23 JPF18:JPF23 JZB18:JZB23 KIX18:KIX23 KST18:KST23 LCP18:LCP23 LML18:LML23 LWH18:LWH23 MGD18:MGD23 MPZ18:MPZ23 MZV18:MZV23 NJR18:NJR23 NTN18:NTN23 ODJ18:ODJ23 ONF18:ONF23 OXB18:OXB23 PGX18:PGX23 PQT18:PQT23 QAP18:QAP23 QKL18:QKL23 QUH18:QUH23 RED18:RED23 RNZ18:RNZ23 RXV18:RXV23 SHR18:SHR23 SRN18:SRN23 TBJ18:TBJ23 TLF18:TLF23 TVB18:TVB23 UEX18:UEX23 UOT18:UOT23 UYP18:UYP23 VIL18:VIL23 VSH18:VSH23 WCD18:WCD23 WLZ18:WLZ23 WVV18:WVV23 N65554:N65559 JJ65554:JJ65559 TF65554:TF65559 ADB65554:ADB65559 AMX65554:AMX65559 AWT65554:AWT65559 BGP65554:BGP65559 BQL65554:BQL65559 CAH65554:CAH65559 CKD65554:CKD65559 CTZ65554:CTZ65559 DDV65554:DDV65559 DNR65554:DNR65559 DXN65554:DXN65559 EHJ65554:EHJ65559 ERF65554:ERF65559 FBB65554:FBB65559 FKX65554:FKX65559 FUT65554:FUT65559 GEP65554:GEP65559 GOL65554:GOL65559 GYH65554:GYH65559 HID65554:HID65559 HRZ65554:HRZ65559 IBV65554:IBV65559 ILR65554:ILR65559 IVN65554:IVN65559 JFJ65554:JFJ65559 JPF65554:JPF65559 JZB65554:JZB65559 KIX65554:KIX65559 KST65554:KST65559 LCP65554:LCP65559 LML65554:LML65559 LWH65554:LWH65559 MGD65554:MGD65559 MPZ65554:MPZ65559 MZV65554:MZV65559 NJR65554:NJR65559 NTN65554:NTN65559 ODJ65554:ODJ65559 ONF65554:ONF65559 OXB65554:OXB65559 PGX65554:PGX65559 PQT65554:PQT65559 QAP65554:QAP65559 QKL65554:QKL65559 QUH65554:QUH65559 RED65554:RED65559 RNZ65554:RNZ65559 RXV65554:RXV65559 SHR65554:SHR65559 SRN65554:SRN65559 TBJ65554:TBJ65559 TLF65554:TLF65559 TVB65554:TVB65559 UEX65554:UEX65559 UOT65554:UOT65559 UYP65554:UYP65559 VIL65554:VIL65559 VSH65554:VSH65559 WCD65554:WCD65559 WLZ65554:WLZ65559 WVV65554:WVV65559 N131090:N131095 JJ131090:JJ131095 TF131090:TF131095 ADB131090:ADB131095 AMX131090:AMX131095 AWT131090:AWT131095 BGP131090:BGP131095 BQL131090:BQL131095 CAH131090:CAH131095 CKD131090:CKD131095 CTZ131090:CTZ131095 DDV131090:DDV131095 DNR131090:DNR131095 DXN131090:DXN131095 EHJ131090:EHJ131095 ERF131090:ERF131095 FBB131090:FBB131095 FKX131090:FKX131095 FUT131090:FUT131095 GEP131090:GEP131095 GOL131090:GOL131095 GYH131090:GYH131095 HID131090:HID131095 HRZ131090:HRZ131095 IBV131090:IBV131095 ILR131090:ILR131095 IVN131090:IVN131095 JFJ131090:JFJ131095 JPF131090:JPF131095 JZB131090:JZB131095 KIX131090:KIX131095 KST131090:KST131095 LCP131090:LCP131095 LML131090:LML131095 LWH131090:LWH131095 MGD131090:MGD131095 MPZ131090:MPZ131095 MZV131090:MZV131095 NJR131090:NJR131095 NTN131090:NTN131095 ODJ131090:ODJ131095 ONF131090:ONF131095 OXB131090:OXB131095 PGX131090:PGX131095 PQT131090:PQT131095 QAP131090:QAP131095 QKL131090:QKL131095 QUH131090:QUH131095 RED131090:RED131095 RNZ131090:RNZ131095 RXV131090:RXV131095 SHR131090:SHR131095 SRN131090:SRN131095 TBJ131090:TBJ131095 TLF131090:TLF131095 TVB131090:TVB131095 UEX131090:UEX131095 UOT131090:UOT131095 UYP131090:UYP131095 VIL131090:VIL131095 VSH131090:VSH131095 WCD131090:WCD131095 WLZ131090:WLZ131095 WVV131090:WVV131095 N196626:N196631 JJ196626:JJ196631 TF196626:TF196631 ADB196626:ADB196631 AMX196626:AMX196631 AWT196626:AWT196631 BGP196626:BGP196631 BQL196626:BQL196631 CAH196626:CAH196631 CKD196626:CKD196631 CTZ196626:CTZ196631 DDV196626:DDV196631 DNR196626:DNR196631 DXN196626:DXN196631 EHJ196626:EHJ196631 ERF196626:ERF196631 FBB196626:FBB196631 FKX196626:FKX196631 FUT196626:FUT196631 GEP196626:GEP196631 GOL196626:GOL196631 GYH196626:GYH196631 HID196626:HID196631 HRZ196626:HRZ196631 IBV196626:IBV196631 ILR196626:ILR196631 IVN196626:IVN196631 JFJ196626:JFJ196631 JPF196626:JPF196631 JZB196626:JZB196631 KIX196626:KIX196631 KST196626:KST196631 LCP196626:LCP196631 LML196626:LML196631 LWH196626:LWH196631 MGD196626:MGD196631 MPZ196626:MPZ196631 MZV196626:MZV196631 NJR196626:NJR196631 NTN196626:NTN196631 ODJ196626:ODJ196631 ONF196626:ONF196631 OXB196626:OXB196631 PGX196626:PGX196631 PQT196626:PQT196631 QAP196626:QAP196631 QKL196626:QKL196631 QUH196626:QUH196631 RED196626:RED196631 RNZ196626:RNZ196631 RXV196626:RXV196631 SHR196626:SHR196631 SRN196626:SRN196631 TBJ196626:TBJ196631 TLF196626:TLF196631 TVB196626:TVB196631 UEX196626:UEX196631 UOT196626:UOT196631 UYP196626:UYP196631 VIL196626:VIL196631 VSH196626:VSH196631 WCD196626:WCD196631 WLZ196626:WLZ196631 WVV196626:WVV196631 N262162:N262167 JJ262162:JJ262167 TF262162:TF262167 ADB262162:ADB262167 AMX262162:AMX262167 AWT262162:AWT262167 BGP262162:BGP262167 BQL262162:BQL262167 CAH262162:CAH262167 CKD262162:CKD262167 CTZ262162:CTZ262167 DDV262162:DDV262167 DNR262162:DNR262167 DXN262162:DXN262167 EHJ262162:EHJ262167 ERF262162:ERF262167 FBB262162:FBB262167 FKX262162:FKX262167 FUT262162:FUT262167 GEP262162:GEP262167 GOL262162:GOL262167 GYH262162:GYH262167 HID262162:HID262167 HRZ262162:HRZ262167 IBV262162:IBV262167 ILR262162:ILR262167 IVN262162:IVN262167 JFJ262162:JFJ262167 JPF262162:JPF262167 JZB262162:JZB262167 KIX262162:KIX262167 KST262162:KST262167 LCP262162:LCP262167 LML262162:LML262167 LWH262162:LWH262167 MGD262162:MGD262167 MPZ262162:MPZ262167 MZV262162:MZV262167 NJR262162:NJR262167 NTN262162:NTN262167 ODJ262162:ODJ262167 ONF262162:ONF262167 OXB262162:OXB262167 PGX262162:PGX262167 PQT262162:PQT262167 QAP262162:QAP262167 QKL262162:QKL262167 QUH262162:QUH262167 RED262162:RED262167 RNZ262162:RNZ262167 RXV262162:RXV262167 SHR262162:SHR262167 SRN262162:SRN262167 TBJ262162:TBJ262167 TLF262162:TLF262167 TVB262162:TVB262167 UEX262162:UEX262167 UOT262162:UOT262167 UYP262162:UYP262167 VIL262162:VIL262167 VSH262162:VSH262167 WCD262162:WCD262167 WLZ262162:WLZ262167 WVV262162:WVV262167 N327698:N327703 JJ327698:JJ327703 TF327698:TF327703 ADB327698:ADB327703 AMX327698:AMX327703 AWT327698:AWT327703 BGP327698:BGP327703 BQL327698:BQL327703 CAH327698:CAH327703 CKD327698:CKD327703 CTZ327698:CTZ327703 DDV327698:DDV327703 DNR327698:DNR327703 DXN327698:DXN327703 EHJ327698:EHJ327703 ERF327698:ERF327703 FBB327698:FBB327703 FKX327698:FKX327703 FUT327698:FUT327703 GEP327698:GEP327703 GOL327698:GOL327703 GYH327698:GYH327703 HID327698:HID327703 HRZ327698:HRZ327703 IBV327698:IBV327703 ILR327698:ILR327703 IVN327698:IVN327703 JFJ327698:JFJ327703 JPF327698:JPF327703 JZB327698:JZB327703 KIX327698:KIX327703 KST327698:KST327703 LCP327698:LCP327703 LML327698:LML327703 LWH327698:LWH327703 MGD327698:MGD327703 MPZ327698:MPZ327703 MZV327698:MZV327703 NJR327698:NJR327703 NTN327698:NTN327703 ODJ327698:ODJ327703 ONF327698:ONF327703 OXB327698:OXB327703 PGX327698:PGX327703 PQT327698:PQT327703 QAP327698:QAP327703 QKL327698:QKL327703 QUH327698:QUH327703 RED327698:RED327703 RNZ327698:RNZ327703 RXV327698:RXV327703 SHR327698:SHR327703 SRN327698:SRN327703 TBJ327698:TBJ327703 TLF327698:TLF327703 TVB327698:TVB327703 UEX327698:UEX327703 UOT327698:UOT327703 UYP327698:UYP327703 VIL327698:VIL327703 VSH327698:VSH327703 WCD327698:WCD327703 WLZ327698:WLZ327703 WVV327698:WVV327703 N393234:N393239 JJ393234:JJ393239 TF393234:TF393239 ADB393234:ADB393239 AMX393234:AMX393239 AWT393234:AWT393239 BGP393234:BGP393239 BQL393234:BQL393239 CAH393234:CAH393239 CKD393234:CKD393239 CTZ393234:CTZ393239 DDV393234:DDV393239 DNR393234:DNR393239 DXN393234:DXN393239 EHJ393234:EHJ393239 ERF393234:ERF393239 FBB393234:FBB393239 FKX393234:FKX393239 FUT393234:FUT393239 GEP393234:GEP393239 GOL393234:GOL393239 GYH393234:GYH393239 HID393234:HID393239 HRZ393234:HRZ393239 IBV393234:IBV393239 ILR393234:ILR393239 IVN393234:IVN393239 JFJ393234:JFJ393239 JPF393234:JPF393239 JZB393234:JZB393239 KIX393234:KIX393239 KST393234:KST393239 LCP393234:LCP393239 LML393234:LML393239 LWH393234:LWH393239 MGD393234:MGD393239 MPZ393234:MPZ393239 MZV393234:MZV393239 NJR393234:NJR393239 NTN393234:NTN393239 ODJ393234:ODJ393239 ONF393234:ONF393239 OXB393234:OXB393239 PGX393234:PGX393239 PQT393234:PQT393239 QAP393234:QAP393239 QKL393234:QKL393239 QUH393234:QUH393239 RED393234:RED393239 RNZ393234:RNZ393239 RXV393234:RXV393239 SHR393234:SHR393239 SRN393234:SRN393239 TBJ393234:TBJ393239 TLF393234:TLF393239 TVB393234:TVB393239 UEX393234:UEX393239 UOT393234:UOT393239 UYP393234:UYP393239 VIL393234:VIL393239 VSH393234:VSH393239 WCD393234:WCD393239 WLZ393234:WLZ393239 WVV393234:WVV393239 N458770:N458775 JJ458770:JJ458775 TF458770:TF458775 ADB458770:ADB458775 AMX458770:AMX458775 AWT458770:AWT458775 BGP458770:BGP458775 BQL458770:BQL458775 CAH458770:CAH458775 CKD458770:CKD458775 CTZ458770:CTZ458775 DDV458770:DDV458775 DNR458770:DNR458775 DXN458770:DXN458775 EHJ458770:EHJ458775 ERF458770:ERF458775 FBB458770:FBB458775 FKX458770:FKX458775 FUT458770:FUT458775 GEP458770:GEP458775 GOL458770:GOL458775 GYH458770:GYH458775 HID458770:HID458775 HRZ458770:HRZ458775 IBV458770:IBV458775 ILR458770:ILR458775 IVN458770:IVN458775 JFJ458770:JFJ458775 JPF458770:JPF458775 JZB458770:JZB458775 KIX458770:KIX458775 KST458770:KST458775 LCP458770:LCP458775 LML458770:LML458775 LWH458770:LWH458775 MGD458770:MGD458775 MPZ458770:MPZ458775 MZV458770:MZV458775 NJR458770:NJR458775 NTN458770:NTN458775 ODJ458770:ODJ458775 ONF458770:ONF458775 OXB458770:OXB458775 PGX458770:PGX458775 PQT458770:PQT458775 QAP458770:QAP458775 QKL458770:QKL458775 QUH458770:QUH458775 RED458770:RED458775 RNZ458770:RNZ458775 RXV458770:RXV458775 SHR458770:SHR458775 SRN458770:SRN458775 TBJ458770:TBJ458775 TLF458770:TLF458775 TVB458770:TVB458775 UEX458770:UEX458775 UOT458770:UOT458775 UYP458770:UYP458775 VIL458770:VIL458775 VSH458770:VSH458775 WCD458770:WCD458775 WLZ458770:WLZ458775 WVV458770:WVV458775 N524306:N524311 JJ524306:JJ524311 TF524306:TF524311 ADB524306:ADB524311 AMX524306:AMX524311 AWT524306:AWT524311 BGP524306:BGP524311 BQL524306:BQL524311 CAH524306:CAH524311 CKD524306:CKD524311 CTZ524306:CTZ524311 DDV524306:DDV524311 DNR524306:DNR524311 DXN524306:DXN524311 EHJ524306:EHJ524311 ERF524306:ERF524311 FBB524306:FBB524311 FKX524306:FKX524311 FUT524306:FUT524311 GEP524306:GEP524311 GOL524306:GOL524311 GYH524306:GYH524311 HID524306:HID524311 HRZ524306:HRZ524311 IBV524306:IBV524311 ILR524306:ILR524311 IVN524306:IVN524311 JFJ524306:JFJ524311 JPF524306:JPF524311 JZB524306:JZB524311 KIX524306:KIX524311 KST524306:KST524311 LCP524306:LCP524311 LML524306:LML524311 LWH524306:LWH524311 MGD524306:MGD524311 MPZ524306:MPZ524311 MZV524306:MZV524311 NJR524306:NJR524311 NTN524306:NTN524311 ODJ524306:ODJ524311 ONF524306:ONF524311 OXB524306:OXB524311 PGX524306:PGX524311 PQT524306:PQT524311 QAP524306:QAP524311 QKL524306:QKL524311 QUH524306:QUH524311 RED524306:RED524311 RNZ524306:RNZ524311 RXV524306:RXV524311 SHR524306:SHR524311 SRN524306:SRN524311 TBJ524306:TBJ524311 TLF524306:TLF524311 TVB524306:TVB524311 UEX524306:UEX524311 UOT524306:UOT524311 UYP524306:UYP524311 VIL524306:VIL524311 VSH524306:VSH524311 WCD524306:WCD524311 WLZ524306:WLZ524311 WVV524306:WVV524311 N589842:N589847 JJ589842:JJ589847 TF589842:TF589847 ADB589842:ADB589847 AMX589842:AMX589847 AWT589842:AWT589847 BGP589842:BGP589847 BQL589842:BQL589847 CAH589842:CAH589847 CKD589842:CKD589847 CTZ589842:CTZ589847 DDV589842:DDV589847 DNR589842:DNR589847 DXN589842:DXN589847 EHJ589842:EHJ589847 ERF589842:ERF589847 FBB589842:FBB589847 FKX589842:FKX589847 FUT589842:FUT589847 GEP589842:GEP589847 GOL589842:GOL589847 GYH589842:GYH589847 HID589842:HID589847 HRZ589842:HRZ589847 IBV589842:IBV589847 ILR589842:ILR589847 IVN589842:IVN589847 JFJ589842:JFJ589847 JPF589842:JPF589847 JZB589842:JZB589847 KIX589842:KIX589847 KST589842:KST589847 LCP589842:LCP589847 LML589842:LML589847 LWH589842:LWH589847 MGD589842:MGD589847 MPZ589842:MPZ589847 MZV589842:MZV589847 NJR589842:NJR589847 NTN589842:NTN589847 ODJ589842:ODJ589847 ONF589842:ONF589847 OXB589842:OXB589847 PGX589842:PGX589847 PQT589842:PQT589847 QAP589842:QAP589847 QKL589842:QKL589847 QUH589842:QUH589847 RED589842:RED589847 RNZ589842:RNZ589847 RXV589842:RXV589847 SHR589842:SHR589847 SRN589842:SRN589847 TBJ589842:TBJ589847 TLF589842:TLF589847 TVB589842:TVB589847 UEX589842:UEX589847 UOT589842:UOT589847 UYP589842:UYP589847 VIL589842:VIL589847 VSH589842:VSH589847 WCD589842:WCD589847 WLZ589842:WLZ589847 WVV589842:WVV589847 N655378:N655383 JJ655378:JJ655383 TF655378:TF655383 ADB655378:ADB655383 AMX655378:AMX655383 AWT655378:AWT655383 BGP655378:BGP655383 BQL655378:BQL655383 CAH655378:CAH655383 CKD655378:CKD655383 CTZ655378:CTZ655383 DDV655378:DDV655383 DNR655378:DNR655383 DXN655378:DXN655383 EHJ655378:EHJ655383 ERF655378:ERF655383 FBB655378:FBB655383 FKX655378:FKX655383 FUT655378:FUT655383 GEP655378:GEP655383 GOL655378:GOL655383 GYH655378:GYH655383 HID655378:HID655383 HRZ655378:HRZ655383 IBV655378:IBV655383 ILR655378:ILR655383 IVN655378:IVN655383 JFJ655378:JFJ655383 JPF655378:JPF655383 JZB655378:JZB655383 KIX655378:KIX655383 KST655378:KST655383 LCP655378:LCP655383 LML655378:LML655383 LWH655378:LWH655383 MGD655378:MGD655383 MPZ655378:MPZ655383 MZV655378:MZV655383 NJR655378:NJR655383 NTN655378:NTN655383 ODJ655378:ODJ655383 ONF655378:ONF655383 OXB655378:OXB655383 PGX655378:PGX655383 PQT655378:PQT655383 QAP655378:QAP655383 QKL655378:QKL655383 QUH655378:QUH655383 RED655378:RED655383 RNZ655378:RNZ655383 RXV655378:RXV655383 SHR655378:SHR655383 SRN655378:SRN655383 TBJ655378:TBJ655383 TLF655378:TLF655383 TVB655378:TVB655383 UEX655378:UEX655383 UOT655378:UOT655383 UYP655378:UYP655383 VIL655378:VIL655383 VSH655378:VSH655383 WCD655378:WCD655383 WLZ655378:WLZ655383 WVV655378:WVV655383 N720914:N720919 JJ720914:JJ720919 TF720914:TF720919 ADB720914:ADB720919 AMX720914:AMX720919 AWT720914:AWT720919 BGP720914:BGP720919 BQL720914:BQL720919 CAH720914:CAH720919 CKD720914:CKD720919 CTZ720914:CTZ720919 DDV720914:DDV720919 DNR720914:DNR720919 DXN720914:DXN720919 EHJ720914:EHJ720919 ERF720914:ERF720919 FBB720914:FBB720919 FKX720914:FKX720919 FUT720914:FUT720919 GEP720914:GEP720919 GOL720914:GOL720919 GYH720914:GYH720919 HID720914:HID720919 HRZ720914:HRZ720919 IBV720914:IBV720919 ILR720914:ILR720919 IVN720914:IVN720919 JFJ720914:JFJ720919 JPF720914:JPF720919 JZB720914:JZB720919 KIX720914:KIX720919 KST720914:KST720919 LCP720914:LCP720919 LML720914:LML720919 LWH720914:LWH720919 MGD720914:MGD720919 MPZ720914:MPZ720919 MZV720914:MZV720919 NJR720914:NJR720919 NTN720914:NTN720919 ODJ720914:ODJ720919 ONF720914:ONF720919 OXB720914:OXB720919 PGX720914:PGX720919 PQT720914:PQT720919 QAP720914:QAP720919 QKL720914:QKL720919 QUH720914:QUH720919 RED720914:RED720919 RNZ720914:RNZ720919 RXV720914:RXV720919 SHR720914:SHR720919 SRN720914:SRN720919 TBJ720914:TBJ720919 TLF720914:TLF720919 TVB720914:TVB720919 UEX720914:UEX720919 UOT720914:UOT720919 UYP720914:UYP720919 VIL720914:VIL720919 VSH720914:VSH720919 WCD720914:WCD720919 WLZ720914:WLZ720919 WVV720914:WVV720919 N786450:N786455 JJ786450:JJ786455 TF786450:TF786455 ADB786450:ADB786455 AMX786450:AMX786455 AWT786450:AWT786455 BGP786450:BGP786455 BQL786450:BQL786455 CAH786450:CAH786455 CKD786450:CKD786455 CTZ786450:CTZ786455 DDV786450:DDV786455 DNR786450:DNR786455 DXN786450:DXN786455 EHJ786450:EHJ786455 ERF786450:ERF786455 FBB786450:FBB786455 FKX786450:FKX786455 FUT786450:FUT786455 GEP786450:GEP786455 GOL786450:GOL786455 GYH786450:GYH786455 HID786450:HID786455 HRZ786450:HRZ786455 IBV786450:IBV786455 ILR786450:ILR786455 IVN786450:IVN786455 JFJ786450:JFJ786455 JPF786450:JPF786455 JZB786450:JZB786455 KIX786450:KIX786455 KST786450:KST786455 LCP786450:LCP786455 LML786450:LML786455 LWH786450:LWH786455 MGD786450:MGD786455 MPZ786450:MPZ786455 MZV786450:MZV786455 NJR786450:NJR786455 NTN786450:NTN786455 ODJ786450:ODJ786455 ONF786450:ONF786455 OXB786450:OXB786455 PGX786450:PGX786455 PQT786450:PQT786455 QAP786450:QAP786455 QKL786450:QKL786455 QUH786450:QUH786455 RED786450:RED786455 RNZ786450:RNZ786455 RXV786450:RXV786455 SHR786450:SHR786455 SRN786450:SRN786455 TBJ786450:TBJ786455 TLF786450:TLF786455 TVB786450:TVB786455 UEX786450:UEX786455 UOT786450:UOT786455 UYP786450:UYP786455 VIL786450:VIL786455 VSH786450:VSH786455 WCD786450:WCD786455 WLZ786450:WLZ786455 WVV786450:WVV786455 N851986:N851991 JJ851986:JJ851991 TF851986:TF851991 ADB851986:ADB851991 AMX851986:AMX851991 AWT851986:AWT851991 BGP851986:BGP851991 BQL851986:BQL851991 CAH851986:CAH851991 CKD851986:CKD851991 CTZ851986:CTZ851991 DDV851986:DDV851991 DNR851986:DNR851991 DXN851986:DXN851991 EHJ851986:EHJ851991 ERF851986:ERF851991 FBB851986:FBB851991 FKX851986:FKX851991 FUT851986:FUT851991 GEP851986:GEP851991 GOL851986:GOL851991 GYH851986:GYH851991 HID851986:HID851991 HRZ851986:HRZ851991 IBV851986:IBV851991 ILR851986:ILR851991 IVN851986:IVN851991 JFJ851986:JFJ851991 JPF851986:JPF851991 JZB851986:JZB851991 KIX851986:KIX851991 KST851986:KST851991 LCP851986:LCP851991 LML851986:LML851991 LWH851986:LWH851991 MGD851986:MGD851991 MPZ851986:MPZ851991 MZV851986:MZV851991 NJR851986:NJR851991 NTN851986:NTN851991 ODJ851986:ODJ851991 ONF851986:ONF851991 OXB851986:OXB851991 PGX851986:PGX851991 PQT851986:PQT851991 QAP851986:QAP851991 QKL851986:QKL851991 QUH851986:QUH851991 RED851986:RED851991 RNZ851986:RNZ851991 RXV851986:RXV851991 SHR851986:SHR851991 SRN851986:SRN851991 TBJ851986:TBJ851991 TLF851986:TLF851991 TVB851986:TVB851991 UEX851986:UEX851991 UOT851986:UOT851991 UYP851986:UYP851991 VIL851986:VIL851991 VSH851986:VSH851991 WCD851986:WCD851991 WLZ851986:WLZ851991 WVV851986:WVV851991 N917522:N917527 JJ917522:JJ917527 TF917522:TF917527 ADB917522:ADB917527 AMX917522:AMX917527 AWT917522:AWT917527 BGP917522:BGP917527 BQL917522:BQL917527 CAH917522:CAH917527 CKD917522:CKD917527 CTZ917522:CTZ917527 DDV917522:DDV917527 DNR917522:DNR917527 DXN917522:DXN917527 EHJ917522:EHJ917527 ERF917522:ERF917527 FBB917522:FBB917527 FKX917522:FKX917527 FUT917522:FUT917527 GEP917522:GEP917527 GOL917522:GOL917527 GYH917522:GYH917527 HID917522:HID917527 HRZ917522:HRZ917527 IBV917522:IBV917527 ILR917522:ILR917527 IVN917522:IVN917527 JFJ917522:JFJ917527 JPF917522:JPF917527 JZB917522:JZB917527 KIX917522:KIX917527 KST917522:KST917527 LCP917522:LCP917527 LML917522:LML917527 LWH917522:LWH917527 MGD917522:MGD917527 MPZ917522:MPZ917527 MZV917522:MZV917527 NJR917522:NJR917527 NTN917522:NTN917527 ODJ917522:ODJ917527 ONF917522:ONF917527 OXB917522:OXB917527 PGX917522:PGX917527 PQT917522:PQT917527 QAP917522:QAP917527 QKL917522:QKL917527 QUH917522:QUH917527 RED917522:RED917527 RNZ917522:RNZ917527 RXV917522:RXV917527 SHR917522:SHR917527 SRN917522:SRN917527 TBJ917522:TBJ917527 TLF917522:TLF917527 TVB917522:TVB917527 UEX917522:UEX917527 UOT917522:UOT917527 UYP917522:UYP917527 VIL917522:VIL917527 VSH917522:VSH917527 WCD917522:WCD917527 WLZ917522:WLZ917527 WVV917522:WVV917527 N983058:N983063 JJ983058:JJ983063 TF983058:TF983063 ADB983058:ADB983063 AMX983058:AMX983063 AWT983058:AWT983063 BGP983058:BGP983063 BQL983058:BQL983063 CAH983058:CAH983063 CKD983058:CKD983063 CTZ983058:CTZ983063 DDV983058:DDV983063 DNR983058:DNR983063 DXN983058:DXN983063 EHJ983058:EHJ983063 ERF983058:ERF983063 FBB983058:FBB983063 FKX983058:FKX983063 FUT983058:FUT983063 GEP983058:GEP983063 GOL983058:GOL983063 GYH983058:GYH983063 HID983058:HID983063 HRZ983058:HRZ983063 IBV983058:IBV983063 ILR983058:ILR983063 IVN983058:IVN983063 JFJ983058:JFJ983063 JPF983058:JPF983063 JZB983058:JZB983063 KIX983058:KIX983063 KST983058:KST983063 LCP983058:LCP983063 LML983058:LML983063 LWH983058:LWH983063 MGD983058:MGD983063 MPZ983058:MPZ983063 MZV983058:MZV983063 NJR983058:NJR983063 NTN983058:NTN983063 ODJ983058:ODJ983063 ONF983058:ONF983063 OXB983058:OXB983063 PGX983058:PGX983063 PQT983058:PQT983063 QAP983058:QAP983063 QKL983058:QKL983063 QUH983058:QUH983063 RED983058:RED983063 RNZ983058:RNZ983063 RXV983058:RXV983063 SHR983058:SHR983063 SRN983058:SRN983063 TBJ983058:TBJ983063 TLF983058:TLF983063 TVB983058:TVB983063 UEX983058:UEX983063 UOT983058:UOT983063 UYP983058:UYP983063 VIL983058:VIL983063 VSH983058:VSH983063 WCD983058:WCD983063 WLZ983058:WLZ983063 WVV983058:WVV983063" xr:uid="{00000000-0002-0000-0300-000006000000}">
      <formula1>0</formula1>
      <formula2>1</formula2>
    </dataValidation>
  </dataValidations>
  <pageMargins left="0.51181102362204722" right="0.51181102362204722" top="0.78740157480314965" bottom="0.78740157480314965" header="0.31496062992125984" footer="0.31496062992125984"/>
  <pageSetup paperSize="9" scale="82" orientation="portrait" r:id="rId1"/>
  <drawing r:id="rId2"/>
  <legacyDrawing r:id="rId3"/>
  <oleObjects>
    <mc:AlternateContent xmlns:mc="http://schemas.openxmlformats.org/markup-compatibility/2006">
      <mc:Choice Requires="x14">
        <oleObject shapeId="5121" r:id="rId4">
          <objectPr defaultSize="0" autoPict="0" r:id="rId5">
            <anchor moveWithCells="1">
              <from>
                <xdr:col>0</xdr:col>
                <xdr:colOff>0</xdr:colOff>
                <xdr:row>0</xdr:row>
                <xdr:rowOff>22860</xdr:rowOff>
              </from>
              <to>
                <xdr:col>0</xdr:col>
                <xdr:colOff>0</xdr:colOff>
                <xdr:row>2</xdr:row>
                <xdr:rowOff>7620</xdr:rowOff>
              </to>
            </anchor>
          </objectPr>
        </oleObject>
      </mc:Choice>
      <mc:Fallback>
        <oleObject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6</vt:i4>
      </vt:variant>
    </vt:vector>
  </HeadingPairs>
  <TitlesOfParts>
    <vt:vector size="11" baseType="lpstr">
      <vt:lpstr>PLANILHA ORÇAMENTÁRIA</vt:lpstr>
      <vt:lpstr>MEMÓRIA DE CÁLCULO</vt:lpstr>
      <vt:lpstr>CRONOGRAMA</vt:lpstr>
      <vt:lpstr>COMPOSIÇÃO</vt:lpstr>
      <vt:lpstr>BDI</vt:lpstr>
      <vt:lpstr>COMPOSIÇÃO!Area_de_impressao</vt:lpstr>
      <vt:lpstr>'MEMÓRIA DE CÁLCULO'!Area_de_impressao</vt:lpstr>
      <vt:lpstr>'PLANILHA ORÇAMENTÁRIA'!Area_de_impressao</vt:lpstr>
      <vt:lpstr>COMPOSIÇÃO!Titulos_de_impressao</vt:lpstr>
      <vt:lpstr>'MEMÓRIA DE CÁLCULO'!Titulos_de_impressao</vt:lpstr>
      <vt:lpstr>'PLANILHA ORÇAMENTÁRIA'!Titulos_de_impressao</vt:lpstr>
    </vt:vector>
  </TitlesOfParts>
  <Company>Fnde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Dell</cp:lastModifiedBy>
  <cp:lastPrinted>2021-07-15T14:46:39Z</cp:lastPrinted>
  <dcterms:created xsi:type="dcterms:W3CDTF">2012-10-15T18:57:41Z</dcterms:created>
  <dcterms:modified xsi:type="dcterms:W3CDTF">2021-10-06T19:14:36Z</dcterms:modified>
</cp:coreProperties>
</file>